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65" yWindow="465" windowWidth="22845" windowHeight="16440" tabRatio="943" activeTab="0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'_CHECK_LIST'!$B$1:$H$68</definedName>
    <definedName name="_xlnm.Print_Area" localSheetId="20">'_FC-16_ESTAB_PRESUP'!$B$1:$H$58</definedName>
    <definedName name="_xlnm.Print_Area" localSheetId="0">'_GENERAL'!$B$1:$N$50</definedName>
    <definedName name="_xlnm.Print_Area" localSheetId="2">'FC-1_ORGANOS_GOBIERNO'!$B$1:$I$48</definedName>
    <definedName name="_xlnm.Print_Area" localSheetId="14">'FC-10_DEUDAS'!$B$1:$T$126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'FC-3_1_INF_ADIC_CPyG'!$B$1:$N$112</definedName>
    <definedName name="_xlnm.Print_Area" localSheetId="4">'FC-3_CPyG'!$B$1:$H$92</definedName>
    <definedName name="_xlnm.Print_Area" localSheetId="8">'FC-4_1_MOV_FP'!$B$1:$Q$64</definedName>
    <definedName name="_xlnm.Print_Area" localSheetId="6">'FC-4_ACTIVO'!$B$1:$H$101</definedName>
    <definedName name="_xlnm.Print_Area" localSheetId="7">'FC-4_PASIVO'!$C$5:$R$94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'FC-9_TRANS_SUBV'!$B$1:$Q$149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<sst xmlns="http://schemas.openxmlformats.org/spreadsheetml/2006/main" count="2310" uniqueCount="1236">
  <si>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</si>
  <si>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</si>
  <si>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</si>
  <si>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</si>
  <si>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</si>
  <si>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</si>
  <si>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</si>
  <si>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</si>
  <si>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</si>
  <si>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</si>
  <si>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</si>
  <si>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</si>
  <si>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</si>
  <si>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</si>
  <si>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</si>
  <si>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</si>
  <si>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</si>
  <si>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</si>
  <si>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</si>
  <si>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</si>
  <si>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</si>
  <si>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</si>
  <si>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</si>
  <si>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</si>
  <si>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</si>
  <si>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</si>
  <si>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</si>
  <si>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</si>
  <si>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</si>
  <si>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</si>
  <si>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</si>
  <si>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</si>
  <si>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</si>
  <si>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</si>
  <si>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</si>
  <si>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</si>
  <si>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</si>
  <si>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</si>
  <si>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</si>
  <si>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</si>
  <si>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</si>
  <si>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</si>
  <si>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</si>
  <si>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</si>
  <si>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</si>
  <si>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</si>
  <si>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</si>
  <si>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</si>
  <si>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</si>
  <si>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</si>
  <si>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</si>
  <si>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</si>
  <si>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</si>
  <si>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</si>
  <si>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</si>
  <si>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</si>
  <si>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</si>
  <si>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</si>
  <si>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</si>
  <si>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</si>
  <si>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</si>
  <si>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</si>
  <si>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</si>
  <si>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</si>
  <si>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</si>
  <si>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</si>
  <si>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</si>
  <si>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</si>
  <si>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</si>
  <si>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</si>
  <si>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</si>
  <si>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</si>
  <si>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</si>
  <si>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</si>
  <si>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</si>
  <si>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</si>
  <si>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</si>
  <si>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</si>
  <si>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</si>
  <si>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</si>
  <si>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</si>
  <si>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</si>
  <si>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</si>
  <si>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</si>
  <si>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</si>
  <si>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</si>
  <si>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</si>
  <si>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</si>
  <si>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</si>
  <si>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</si>
  <si>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</si>
  <si>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</si>
  <si>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</si>
  <si>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</si>
  <si>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</si>
  <si>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</si>
  <si>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</si>
  <si>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</si>
  <si>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</si>
  <si>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</si>
  <si>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</si>
  <si>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</si>
  <si>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</si>
  <si>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</si>
  <si>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</si>
  <si>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</si>
  <si>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</si>
  <si>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</si>
  <si>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</si>
  <si>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</si>
  <si>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</si>
  <si>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</si>
  <si>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</si>
  <si>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</si>
  <si>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</si>
  <si>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</si>
  <si>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</si>
  <si>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</si>
  <si>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</si>
  <si>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</si>
  <si>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</si>
  <si>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</si>
  <si>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</si>
  <si>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</si>
  <si>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</si>
  <si>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</si>
  <si>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</si>
  <si>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</si>
  <si>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</si>
  <si>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</si>
  <si>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</si>
  <si>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</si>
  <si>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</si>
  <si>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</si>
  <si>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</si>
  <si>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</si>
  <si>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</si>
  <si>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</si>
  <si>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</si>
  <si>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</si>
  <si>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</si>
  <si>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</si>
  <si>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</si>
  <si>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</si>
  <si>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</si>
  <si>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</si>
  <si>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</si>
  <si>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</si>
  <si>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</si>
  <si>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</si>
  <si>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</si>
  <si>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</si>
  <si>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</si>
  <si>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</si>
  <si>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</si>
  <si>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</si>
  <si>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</si>
  <si>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</si>
  <si>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</si>
  <si>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</si>
  <si>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</si>
  <si>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</si>
  <si>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</si>
  <si>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</si>
  <si>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</si>
  <si>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</si>
  <si>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</si>
  <si>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</si>
  <si>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</si>
  <si>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</si>
  <si>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</si>
  <si>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</si>
  <si>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</si>
  <si>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</si>
  <si>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</si>
  <si>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</si>
  <si>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</si>
  <si>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</si>
  <si>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</si>
  <si>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</si>
  <si>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</si>
  <si>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</si>
  <si>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</si>
  <si>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</si>
  <si>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</si>
  <si>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</si>
  <si>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</si>
  <si>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</si>
  <si>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</si>
  <si>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</si>
  <si>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</si>
  <si>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</si>
  <si>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</si>
  <si>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</si>
  <si>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</si>
  <si>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</si>
  <si>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</si>
  <si>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</si>
  <si>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</si>
  <si>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</si>
  <si>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</si>
  <si>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</si>
  <si>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</si>
  <si>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</si>
  <si>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Genomica Analisis Masivo Datos</t>
  </si>
  <si>
    <t>Estudio Autosuf. Energ. Africa</t>
  </si>
  <si>
    <t>Union Europea</t>
  </si>
  <si>
    <t>Volriskmac</t>
  </si>
  <si>
    <t>Seafuel</t>
  </si>
  <si>
    <t>Timanfaya</t>
  </si>
  <si>
    <t>MICINN</t>
  </si>
  <si>
    <t>Geoatlantic</t>
  </si>
  <si>
    <t>MACLAB</t>
  </si>
  <si>
    <t>Volturmac</t>
  </si>
  <si>
    <t>Planclimac</t>
  </si>
  <si>
    <t>EELabs</t>
  </si>
  <si>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</si>
  <si>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</si>
  <si>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</si>
  <si>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</si>
  <si>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</si>
  <si>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</si>
  <si>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</si>
  <si>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</si>
  <si>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</si>
  <si>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</si>
  <si>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</si>
  <si>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</si>
  <si>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</si>
  <si>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</si>
  <si>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</si>
  <si>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</si>
  <si>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</si>
  <si>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</si>
  <si>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</si>
  <si>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</si>
  <si>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</si>
  <si>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</si>
  <si>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</si>
  <si>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</si>
  <si>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</si>
  <si>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</si>
  <si>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</si>
  <si>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</si>
  <si>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</si>
  <si>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</si>
  <si>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</si>
  <si>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</si>
  <si>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</si>
  <si>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</si>
  <si>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</si>
  <si>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</si>
  <si>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</si>
  <si>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</si>
  <si>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</si>
  <si>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</si>
  <si>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</si>
  <si>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</si>
  <si>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</si>
  <si>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</si>
  <si>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</si>
  <si>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</si>
  <si>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</si>
  <si>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</si>
  <si>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</si>
  <si>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</si>
  <si>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</si>
  <si>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</si>
  <si>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</si>
  <si>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</si>
  <si>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</si>
  <si>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</si>
  <si>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</si>
  <si>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</si>
  <si>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</si>
  <si>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</si>
  <si>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</si>
  <si>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</si>
  <si>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</si>
  <si>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</si>
  <si>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</si>
  <si>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</si>
  <si>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</si>
  <si>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</si>
  <si>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</si>
  <si>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</si>
  <si>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</si>
  <si>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</si>
  <si>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</si>
  <si>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</si>
  <si>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</si>
  <si>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</si>
  <si>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</si>
  <si>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</si>
  <si>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</si>
  <si>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</si>
  <si>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</si>
  <si>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</si>
  <si>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</si>
  <si>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</si>
  <si>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</si>
  <si>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</si>
  <si>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</si>
  <si>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</si>
  <si>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</si>
  <si>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</si>
  <si>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</si>
  <si>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</si>
  <si>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</si>
  <si>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</si>
  <si>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</si>
  <si>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</si>
  <si>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</si>
  <si>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</si>
  <si>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</si>
  <si>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</si>
  <si>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</si>
  <si>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</si>
  <si>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</si>
  <si>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</si>
  <si>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</si>
  <si>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</si>
  <si>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</si>
  <si>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</si>
  <si>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</si>
  <si>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</si>
  <si>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</si>
  <si>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</si>
  <si>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</si>
  <si>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</si>
  <si>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</si>
  <si>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</si>
  <si>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</si>
  <si>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</si>
  <si>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</si>
  <si>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</si>
  <si>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</si>
  <si>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</si>
  <si>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</si>
  <si>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</si>
  <si>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</si>
  <si>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</si>
  <si>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</si>
  <si>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</si>
  <si>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</si>
  <si>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</si>
  <si>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</si>
  <si>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</si>
  <si>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</si>
  <si>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</si>
  <si>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</si>
  <si>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</si>
  <si>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</si>
  <si>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</si>
  <si>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</si>
  <si>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</si>
  <si>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</si>
  <si>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</si>
  <si>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</si>
  <si>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</si>
  <si>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</si>
  <si>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</si>
  <si>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</si>
  <si>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</si>
  <si>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</si>
  <si>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</si>
  <si>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</si>
  <si>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</si>
  <si>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</si>
  <si>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</si>
  <si>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</si>
  <si>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</si>
  <si>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</si>
  <si>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</si>
  <si>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</si>
  <si>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</si>
  <si>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</si>
  <si>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</si>
  <si>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</si>
  <si>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</si>
  <si>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</si>
  <si>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</si>
  <si>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</si>
  <si>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</si>
  <si>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</si>
  <si>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</si>
  <si>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</si>
  <si>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</si>
  <si>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</si>
  <si>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</si>
  <si>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</si>
  <si>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</si>
  <si>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</si>
  <si>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</si>
  <si>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</si>
  <si>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</si>
  <si>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</si>
  <si>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</si>
  <si>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</si>
  <si>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</si>
  <si>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</si>
  <si>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</si>
  <si>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</si>
  <si>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</si>
  <si>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</si>
  <si>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</si>
  <si>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</si>
  <si>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</si>
  <si>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</si>
  <si>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</si>
  <si>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</si>
  <si>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</si>
  <si>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</si>
  <si>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</si>
  <si>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</si>
  <si>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</si>
  <si>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</si>
  <si>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</si>
  <si>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</si>
  <si>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</si>
  <si>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</si>
  <si>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</si>
  <si>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</si>
  <si>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</si>
  <si>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</si>
  <si>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</si>
  <si>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</si>
  <si>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</si>
  <si>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</si>
  <si>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</si>
  <si>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</si>
  <si>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</si>
  <si>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</si>
  <si>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</si>
  <si>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</si>
  <si>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</si>
  <si>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</si>
  <si>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</si>
  <si>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</si>
  <si>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</si>
  <si>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</si>
  <si>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</si>
  <si>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</si>
  <si>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</si>
  <si>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</si>
  <si>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</si>
  <si>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</si>
  <si>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</si>
  <si>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</si>
  <si>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</si>
  <si>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</si>
  <si>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</si>
  <si>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</si>
  <si>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</si>
  <si>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</si>
  <si>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</si>
  <si>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</si>
  <si>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</si>
  <si>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</si>
  <si>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</si>
  <si>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</si>
  <si>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</si>
  <si>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</si>
  <si>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</si>
  <si>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</si>
  <si>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</si>
  <si>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</si>
  <si>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</si>
  <si>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</si>
  <si>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</si>
  <si>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</si>
  <si>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</si>
  <si>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</si>
  <si>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</si>
  <si>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</si>
  <si>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</si>
  <si>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</si>
  <si>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</si>
  <si>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</si>
  <si>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</si>
  <si>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</si>
  <si>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</si>
  <si>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</si>
  <si>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</si>
  <si>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</si>
  <si>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</si>
  <si>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</si>
  <si>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</si>
  <si>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</si>
  <si>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</si>
  <si>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</si>
  <si>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</si>
  <si>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</si>
  <si>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</si>
  <si>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</si>
  <si>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</si>
  <si>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</si>
  <si>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</si>
  <si>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</si>
  <si>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</si>
  <si>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</si>
  <si>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</si>
  <si>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</si>
  <si>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</si>
  <si>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</si>
  <si>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</si>
  <si>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</si>
  <si>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</si>
  <si>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</si>
  <si>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</si>
  <si>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</si>
  <si>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</si>
  <si>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</si>
  <si>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</si>
  <si>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</si>
  <si>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</si>
  <si>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</si>
  <si>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</si>
  <si>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</si>
  <si>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</si>
  <si>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</si>
  <si>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</si>
  <si>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</si>
  <si>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</si>
  <si>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</si>
  <si>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</si>
  <si>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</si>
  <si>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</si>
  <si>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</si>
  <si>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</si>
  <si>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</si>
  <si>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</si>
  <si>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</si>
  <si>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</si>
  <si>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</si>
  <si>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</si>
  <si>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</si>
  <si>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</si>
  <si>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</si>
  <si>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</si>
  <si>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</si>
  <si>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</si>
  <si>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</si>
  <si>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</si>
  <si>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</si>
  <si>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</si>
  <si>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</si>
  <si>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</si>
  <si>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</si>
  <si>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</si>
  <si>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</si>
  <si>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</si>
  <si>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</si>
  <si>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</si>
  <si>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</si>
  <si>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</si>
  <si>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</si>
  <si>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</si>
  <si>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</si>
  <si>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</si>
  <si>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</si>
  <si>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</si>
  <si>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</si>
  <si>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</si>
  <si>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</si>
  <si>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</si>
  <si>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</si>
  <si>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</si>
  <si>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</si>
  <si>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</si>
  <si>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</si>
  <si>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</si>
  <si>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</si>
  <si>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</si>
  <si>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</si>
  <si>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</si>
  <si>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</si>
  <si>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</si>
  <si>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</si>
  <si>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</si>
  <si>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</si>
  <si>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</si>
  <si>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</si>
  <si>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</si>
  <si>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</si>
  <si>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</si>
  <si>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</si>
  <si>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</si>
  <si>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</si>
  <si>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</si>
  <si>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</si>
  <si>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</si>
  <si>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</si>
  <si>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</si>
  <si>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</si>
  <si>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</si>
  <si>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</si>
  <si>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</si>
  <si>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</si>
  <si>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</si>
  <si>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</si>
  <si>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</si>
  <si>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</si>
  <si>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</si>
  <si>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</si>
  <si>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</si>
  <si>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</si>
  <si>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</si>
  <si>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</si>
  <si>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</si>
  <si>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</si>
  <si>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</si>
  <si>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</si>
  <si>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</si>
  <si>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</si>
  <si>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</si>
  <si>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</si>
  <si>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</si>
  <si>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</si>
  <si>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</si>
  <si>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</si>
  <si>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</si>
  <si>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</si>
  <si>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</si>
  <si>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</si>
  <si>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</si>
  <si>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</si>
  <si>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</si>
  <si>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</si>
  <si>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</si>
  <si>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</si>
  <si>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</si>
  <si>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</si>
  <si>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</si>
  <si>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</si>
  <si>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</si>
  <si>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</si>
  <si>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</si>
  <si>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</si>
  <si>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</si>
  <si>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</si>
  <si>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Torres Quevedo Lucca</t>
  </si>
  <si>
    <t>UDIGEN</t>
  </si>
  <si>
    <t>Termovolcan</t>
  </si>
  <si>
    <t>GRIDER</t>
  </si>
  <si>
    <t>MPM System</t>
  </si>
  <si>
    <t>M3 Control</t>
  </si>
  <si>
    <t>Naturdron</t>
  </si>
  <si>
    <t>Formacion profesorado Universitario</t>
  </si>
  <si>
    <t>Retos Vertegas</t>
  </si>
  <si>
    <t>Retos Spiterm 2018</t>
  </si>
  <si>
    <t>Retos Spiterm 2019</t>
  </si>
  <si>
    <t>Retos Heliodron</t>
  </si>
  <si>
    <t>Sosturmac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</si>
  <si>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</si>
  <si>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</si>
  <si>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</si>
  <si>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</si>
  <si>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</si>
  <si>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</si>
  <si>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</si>
  <si>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</si>
  <si>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</si>
  <si>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</si>
  <si>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</si>
  <si>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</si>
  <si>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</si>
  <si>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</si>
  <si>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</si>
  <si>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</si>
  <si>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</si>
  <si>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</si>
  <si>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</si>
  <si>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</si>
  <si>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</si>
  <si>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</si>
  <si>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</si>
  <si>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</si>
  <si>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</si>
  <si>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</si>
  <si>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</si>
  <si>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</si>
  <si>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</si>
  <si>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</si>
  <si>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</si>
  <si>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</si>
  <si>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</si>
  <si>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</si>
  <si>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</si>
  <si>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</si>
  <si>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</si>
  <si>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</si>
  <si>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</si>
  <si>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</si>
  <si>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</si>
  <si>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</si>
  <si>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</si>
  <si>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</si>
  <si>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</si>
  <si>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</si>
  <si>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</si>
  <si>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</si>
  <si>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</si>
  <si>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</si>
  <si>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</si>
  <si>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</si>
  <si>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</si>
  <si>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</si>
  <si>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</si>
  <si>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</si>
  <si>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</si>
  <si>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</si>
  <si>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</si>
  <si>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</si>
  <si>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</si>
  <si>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</si>
  <si>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</si>
  <si>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</si>
  <si>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</si>
  <si>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</si>
  <si>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</si>
  <si>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</si>
  <si>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</si>
  <si>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</si>
  <si>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</si>
  <si>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</si>
  <si>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</si>
  <si>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</si>
  <si>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</si>
  <si>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</si>
  <si>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</si>
  <si>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</si>
  <si>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</si>
  <si>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</si>
  <si>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</si>
  <si>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</si>
  <si>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</si>
  <si>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</si>
  <si>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</si>
  <si>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</si>
  <si>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</si>
  <si>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</si>
  <si>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</si>
  <si>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</si>
  <si>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</si>
  <si>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</si>
  <si>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</si>
  <si>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</si>
  <si>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</si>
  <si>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</si>
  <si>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</si>
  <si>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</si>
  <si>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</si>
  <si>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</si>
  <si>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</si>
  <si>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</si>
  <si>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</si>
  <si>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</si>
  <si>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</si>
  <si>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</si>
  <si>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</si>
  <si>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</si>
  <si>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</si>
  <si>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</si>
  <si>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</si>
  <si>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</si>
  <si>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</si>
  <si>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</si>
  <si>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</si>
  <si>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</si>
  <si>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</si>
  <si>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</si>
  <si>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</si>
  <si>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</si>
  <si>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</si>
  <si>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</si>
  <si>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</si>
  <si>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</si>
  <si>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</si>
  <si>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</si>
  <si>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</si>
  <si>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</si>
  <si>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</si>
  <si>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</si>
  <si>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</si>
  <si>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</si>
  <si>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</si>
  <si>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</si>
  <si>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</si>
  <si>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</si>
  <si>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</si>
  <si>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</si>
  <si>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</si>
  <si>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</si>
  <si>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</si>
  <si>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</si>
  <si>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</si>
  <si>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</si>
  <si>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</si>
  <si>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</si>
  <si>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</si>
  <si>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</si>
  <si>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</si>
  <si>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</si>
  <si>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</si>
  <si>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</si>
  <si>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</si>
  <si>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</si>
  <si>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</si>
  <si>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</si>
  <si>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</si>
  <si>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</si>
  <si>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</si>
  <si>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</si>
  <si>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</si>
  <si>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</si>
  <si>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</si>
  <si>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</si>
  <si>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</si>
  <si>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</si>
  <si>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</si>
  <si>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</si>
  <si>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</si>
  <si>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</si>
  <si>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</si>
  <si>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</si>
  <si>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</si>
  <si>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</si>
  <si>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</si>
  <si>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</si>
  <si>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</si>
  <si>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</si>
  <si>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</si>
  <si>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</si>
  <si>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</si>
  <si>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</si>
  <si>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</si>
  <si>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</si>
  <si>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</si>
  <si>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</si>
  <si>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</si>
  <si>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</si>
  <si>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</si>
  <si>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</si>
  <si>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</si>
  <si>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</si>
  <si>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</si>
  <si>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</si>
  <si>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</si>
  <si>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</si>
  <si>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</si>
  <si>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</si>
  <si>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</si>
  <si>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</si>
  <si>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</si>
  <si>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</si>
  <si>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</si>
  <si>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</si>
  <si>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</si>
  <si>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</si>
  <si>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</si>
  <si>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</si>
  <si>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</si>
  <si>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</si>
  <si>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</si>
  <si>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</si>
  <si>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</si>
  <si>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</si>
  <si>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</si>
  <si>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</si>
  <si>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</si>
  <si>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</si>
  <si>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</si>
  <si>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</si>
  <si>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</si>
  <si>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</si>
  <si>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</si>
  <si>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</si>
  <si>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</si>
  <si>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</si>
  <si>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</si>
  <si>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</si>
  <si>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</si>
  <si>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</si>
  <si>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</si>
  <si>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</si>
  <si>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</si>
  <si>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</si>
  <si>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</si>
  <si>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</si>
  <si>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</si>
  <si>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</si>
  <si>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</si>
  <si>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</si>
  <si>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</si>
  <si>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</si>
  <si>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</si>
  <si>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</si>
  <si>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</si>
  <si>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</si>
  <si>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</si>
  <si>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</si>
  <si>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</si>
  <si>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</si>
  <si>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</si>
  <si>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</si>
  <si>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</si>
  <si>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</si>
  <si>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</si>
  <si>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</si>
  <si>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</si>
  <si>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</si>
  <si>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</si>
  <si>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</si>
  <si>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</si>
  <si>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</si>
  <si>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</si>
  <si>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</si>
  <si>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</si>
  <si>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</si>
  <si>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</si>
  <si>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</si>
  <si>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</si>
  <si>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</si>
  <si>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</si>
  <si>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</si>
  <si>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</si>
  <si>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</si>
  <si>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</si>
  <si>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</si>
  <si>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</si>
  <si>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</si>
  <si>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</si>
  <si>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</si>
  <si>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</si>
  <si>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</si>
  <si>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</si>
  <si>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</si>
  <si>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</si>
  <si>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</si>
  <si>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</si>
  <si>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</si>
  <si>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</si>
  <si>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</si>
  <si>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</si>
  <si>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</si>
  <si>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</si>
  <si>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</si>
  <si>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</si>
  <si>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</si>
  <si>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</si>
  <si>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</si>
  <si>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</si>
  <si>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</si>
  <si>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</si>
  <si>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</si>
  <si>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</si>
  <si>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</si>
  <si>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</si>
  <si>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</si>
  <si>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</si>
  <si>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</si>
  <si>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</si>
  <si>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</si>
  <si>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</si>
  <si>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</si>
  <si>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</si>
  <si>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</si>
  <si>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</si>
  <si>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INSTITUTO TECNOLOGICO Y DE ENERGIAS RENOVABLES S.A.</t>
  </si>
  <si>
    <t>Pedro Manuel Martín Domínguez</t>
  </si>
  <si>
    <t>Eduardo Ballesteros Ruíz Benítez de Lugo</t>
  </si>
  <si>
    <t>José Clemente Díaz Gómez</t>
  </si>
  <si>
    <t>Maria Elena Rodríguez Henriquez</t>
  </si>
  <si>
    <t>Javier Rodríguez Medina</t>
  </si>
  <si>
    <t>José Gregorio Martín Plata</t>
  </si>
  <si>
    <t>Dora González Brito</t>
  </si>
  <si>
    <t>María José Belda Díaz</t>
  </si>
  <si>
    <t>María Ruth Acosta Trujillo</t>
  </si>
  <si>
    <t>Manuel Cendagorta Galarza López</t>
  </si>
  <si>
    <t>P3800001D</t>
  </si>
  <si>
    <t>A</t>
  </si>
  <si>
    <t>B</t>
  </si>
  <si>
    <t>Instituto Tecnológico de Canarias</t>
  </si>
  <si>
    <t>A35313170</t>
  </si>
  <si>
    <t>AUTOCARTERA</t>
  </si>
  <si>
    <t>-</t>
  </si>
  <si>
    <t>Eólicas de Tenerife</t>
  </si>
  <si>
    <t>V38402574</t>
  </si>
  <si>
    <t>Energía Verde de la Macaronesia SL</t>
  </si>
  <si>
    <t>B38927976</t>
  </si>
  <si>
    <t>EVM2 Energías Renovables SL</t>
  </si>
  <si>
    <t>B38927463</t>
  </si>
  <si>
    <t>Solten II Granadilla SA</t>
  </si>
  <si>
    <t>A38928610</t>
  </si>
  <si>
    <t>A=60 / B=9664</t>
  </si>
  <si>
    <t>Parque Eólico Punta de Teno</t>
  </si>
  <si>
    <t>A38555454</t>
  </si>
  <si>
    <t>Parques Eólicos de Granadilla AIE</t>
  </si>
  <si>
    <t>G38799748</t>
  </si>
  <si>
    <t>Instituto Volcanológico de Canarias SAU</t>
  </si>
  <si>
    <t>A-76519925</t>
  </si>
  <si>
    <t>Tech Development Europe SA</t>
  </si>
  <si>
    <t>A38592354</t>
  </si>
  <si>
    <t>Instituto Tecnológico y de Telecomunicaciones de Tenerife SL</t>
  </si>
  <si>
    <t>B-38982310</t>
  </si>
  <si>
    <t>Ancero Auditores</t>
  </si>
  <si>
    <t>CANARIAS SUBMARINE LINK</t>
  </si>
  <si>
    <t>INSTITUTO TECNOLOGICO Y DE TELECOMUNICACIONES</t>
  </si>
  <si>
    <t>INSTITUTO VOLCANOLOGICO DE CANARIAS</t>
  </si>
  <si>
    <t>POL. IND DE GRANADILLA</t>
  </si>
  <si>
    <t>EOLICAS DE TENERIFE</t>
  </si>
  <si>
    <t>CANALINK AFRICA</t>
  </si>
  <si>
    <t>AYUNTAMIENTO DE GRANADILLA</t>
  </si>
  <si>
    <t>AYUNTAMIENTO DE ADEJE</t>
  </si>
  <si>
    <t>Liq. GOBCAN IGIC Importacion</t>
  </si>
  <si>
    <t>Reg. Bonificaciones seguridad social</t>
  </si>
  <si>
    <t>Recargo pago IAE</t>
  </si>
  <si>
    <t>Rbo. Ay. Granadilla IBI 2019</t>
  </si>
  <si>
    <t>Mod. 002 INE</t>
  </si>
  <si>
    <t>Mod. 993 Direc. Trabajo 2019</t>
  </si>
  <si>
    <t>Exp INE 0A-2018 Modelo 002</t>
  </si>
  <si>
    <t>Electrovolcan</t>
  </si>
  <si>
    <t>Superordenador Ampliacion</t>
  </si>
  <si>
    <t>MCI</t>
  </si>
  <si>
    <t>Volriskmac II</t>
  </si>
  <si>
    <t>Cedei</t>
  </si>
  <si>
    <t>Parque Eólico Arico</t>
  </si>
  <si>
    <t>Evacuación Eolica Subestación 66Kv</t>
  </si>
  <si>
    <t>Nave Euclides</t>
  </si>
  <si>
    <t>Proyecto FV 5Mw</t>
  </si>
  <si>
    <t>Sistema Acumulac. y Gest. Carga</t>
  </si>
  <si>
    <t>TDT Cabildo TV</t>
  </si>
  <si>
    <t>Inversiones equipos genómica</t>
  </si>
  <si>
    <t>Compra equipos Volriskmac</t>
  </si>
  <si>
    <t>Compra equipos Sosturmac</t>
  </si>
  <si>
    <t>Aplicaciones Informáticas</t>
  </si>
  <si>
    <t>Equipos informáticos</t>
  </si>
  <si>
    <t>Instalaciones Técnicas</t>
  </si>
  <si>
    <t>Maquinaria</t>
  </si>
  <si>
    <t>Mobiliario</t>
  </si>
  <si>
    <t>Otras instalaciones</t>
  </si>
  <si>
    <t>Otro inmovilizado material</t>
  </si>
  <si>
    <t>Elementos transporte</t>
  </si>
  <si>
    <t>Utillaje</t>
  </si>
  <si>
    <t>Instalacion FV Nave Hangar</t>
  </si>
  <si>
    <t>Inversiones informáticas</t>
  </si>
  <si>
    <t>Maclab</t>
  </si>
  <si>
    <t>ELLabs</t>
  </si>
  <si>
    <t>EOLICAS DE TENERIFE AIE</t>
  </si>
  <si>
    <t>ENERGIA VERDE DE LA MACARONESIA</t>
  </si>
  <si>
    <t>EVM2 ENERGIAS RENOVABLES S.A.</t>
  </si>
  <si>
    <t>SOLTEN II GRANADILLA S.A.</t>
  </si>
  <si>
    <t>PARQUES EOLICOS DE GRANADILLA AIE</t>
  </si>
  <si>
    <t>Créditos a empresas: Créditos fical emp Grupo Consolidado</t>
  </si>
  <si>
    <t>C/C con empresas grupo y asociadas</t>
  </si>
  <si>
    <t>CDAD DE AGUAS UNION NORTE</t>
  </si>
  <si>
    <t>PARQUE EOLICOS PUNTA DE TENO</t>
  </si>
  <si>
    <t>CAIXABANK</t>
  </si>
  <si>
    <t>Creditos L/P: CB REGAI y Personal</t>
  </si>
  <si>
    <t>Fianzas y depósitos</t>
  </si>
  <si>
    <t>Ptmo e int devengados</t>
  </si>
  <si>
    <t>Oblig Caixabank</t>
  </si>
  <si>
    <t>Cta Corriente emp vic, fianzas y depósitos</t>
  </si>
  <si>
    <t>Aires de Tfe</t>
  </si>
  <si>
    <t>Aplic isótopos estroncio para huella vinos de tfe</t>
  </si>
  <si>
    <t>Técnicas evaluación salinizacion acuiferos costeros Tfe</t>
  </si>
  <si>
    <t>Proy Tenair</t>
  </si>
  <si>
    <t>Póliza Préstamo</t>
  </si>
  <si>
    <t>Banco Sabadell</t>
  </si>
  <si>
    <t>2.B.II</t>
  </si>
  <si>
    <t>No</t>
  </si>
  <si>
    <t>Prestamo</t>
  </si>
  <si>
    <t>CDTI</t>
  </si>
  <si>
    <t>Préstamo</t>
  </si>
  <si>
    <t>Ministerio</t>
  </si>
  <si>
    <t>2.C.II</t>
  </si>
  <si>
    <t>Deuda efecto impositivo</t>
  </si>
  <si>
    <t>ITER</t>
  </si>
  <si>
    <t>2.C.IV</t>
  </si>
  <si>
    <t>Enrique Arriaga Álvarez</t>
  </si>
  <si>
    <t>Valentín González Évora</t>
  </si>
  <si>
    <t>0,56%</t>
  </si>
  <si>
    <t>Porcentaje Final 96,19 %</t>
  </si>
  <si>
    <t>Porcentaje Final 1,51 %</t>
  </si>
  <si>
    <t>Porcentaje Final 2,29 %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</si>
  <si>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</si>
  <si>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</si>
  <si>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</si>
  <si>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</si>
  <si>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</si>
  <si>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</si>
  <si>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</si>
  <si>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</si>
  <si>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</si>
  <si>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</si>
  <si>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</si>
  <si>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</si>
  <si>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</si>
  <si>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</si>
  <si>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</si>
  <si>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</si>
  <si>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</si>
  <si>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</si>
  <si>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</si>
  <si>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</si>
  <si>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</si>
  <si>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</si>
  <si>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</si>
  <si>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</si>
  <si>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</si>
  <si>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</si>
  <si>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</si>
  <si>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</si>
  <si>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</si>
  <si>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</si>
  <si>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</si>
  <si>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</si>
  <si>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</si>
  <si>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</si>
  <si>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</si>
  <si>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</si>
  <si>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</si>
  <si>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</si>
  <si>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</si>
  <si>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</si>
  <si>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</si>
  <si>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</si>
  <si>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</si>
  <si>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</si>
  <si>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</si>
  <si>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</si>
  <si>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</si>
  <si>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</si>
  <si>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</si>
  <si>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</si>
  <si>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</si>
  <si>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</si>
  <si>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</si>
  <si>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t>Analisis Masivo Datos</t>
  </si>
  <si>
    <t>Innovideo</t>
  </si>
  <si>
    <t>TDT Cultura</t>
  </si>
  <si>
    <t>TDT Informática</t>
  </si>
  <si>
    <t>TDT Promocion Contenido</t>
  </si>
  <si>
    <t>Servicios Ayuntamientos</t>
  </si>
  <si>
    <t>Ayuda Doctorado MEC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</si>
  <si>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</si>
  <si>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</si>
  <si>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</si>
  <si>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</si>
  <si>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</si>
  <si>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</si>
  <si>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</si>
  <si>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</si>
  <si>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</si>
  <si>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</si>
  <si>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</si>
  <si>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</si>
  <si>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</si>
  <si>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</si>
  <si>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</si>
  <si>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</si>
  <si>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</si>
  <si>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</si>
  <si>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</si>
  <si>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</si>
  <si>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</si>
  <si>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</si>
  <si>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</si>
  <si>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</si>
  <si>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</si>
  <si>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</si>
  <si>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</si>
  <si>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</si>
  <si>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</si>
  <si>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</si>
  <si>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</si>
  <si>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</si>
  <si>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</si>
  <si>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</si>
  <si>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</si>
  <si>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</si>
  <si>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</si>
  <si>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</si>
  <si>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</si>
  <si>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</si>
  <si>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</si>
  <si>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</si>
  <si>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</si>
  <si>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</si>
  <si>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</si>
  <si>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</si>
  <si>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</si>
  <si>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</si>
  <si>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</si>
  <si>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</si>
  <si>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</si>
  <si>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</si>
  <si>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</si>
  <si>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</si>
  <si>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</si>
  <si>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</si>
  <si>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</si>
  <si>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</si>
  <si>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</si>
  <si>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</si>
  <si>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José Antonio Duque</t>
  </si>
  <si>
    <t>Variación de activos por impuesto diferido</t>
  </si>
  <si>
    <t>Variación activos por impuesto diferido</t>
  </si>
  <si>
    <t>OK</t>
  </si>
  <si>
    <t>Banesto-BSCH</t>
  </si>
  <si>
    <t>Partidas pdtes aplicación</t>
  </si>
  <si>
    <t>Ajuste porque el saldo es la disminución de activo por impuesto diferido sin efecto en tesorería</t>
  </si>
  <si>
    <t>Ajuste con variación PyG Imp. Sociedades sin efecto tesorería</t>
  </si>
  <si>
    <t>Deudas transformables en subvenciones "Aires de Tfe"</t>
  </si>
  <si>
    <t>Deudas transformables en subvenciones "Aplic isótopos estroncio para huella vinos de tfe"</t>
  </si>
  <si>
    <t>Deudas transformables en subvenciones "Técnicas evaluación salinizacion acuiferos costeros Tfe"</t>
  </si>
  <si>
    <t>Deudas transformables en subvenciones "Proy Tenair"</t>
  </si>
  <si>
    <t>ECIT - 522</t>
  </si>
  <si>
    <t>C.3.5</t>
  </si>
  <si>
    <t>Ajuste por deudas transformables en subvenciones reclasificadas a subvenciones</t>
  </si>
  <si>
    <t>HUELLA DACTILAR VINOS DE TENERIFE (ITER 2018 / ECIT 2019)</t>
  </si>
  <si>
    <t>PROYECTO TENAIR (ECIT/ITER)</t>
  </si>
  <si>
    <t>DLLO. E IMPLANTACIÓN TCAS TCAS INNOVADORAS EVALUAR LA SALINAZACIÓN (ECIT/ITER)</t>
  </si>
  <si>
    <t>Mejora Plataforma Gestión contenidos audiovisuales</t>
  </si>
  <si>
    <t>Aportación TDT</t>
  </si>
  <si>
    <t>Producción de contenidos audiovisuales</t>
  </si>
  <si>
    <t>Distribucion prevista de dividendos contra reservas</t>
  </si>
  <si>
    <t>acciones ITC</t>
  </si>
  <si>
    <t>Acciones Cabildo</t>
  </si>
  <si>
    <t>dividendos Cabildo</t>
  </si>
  <si>
    <t>dividendo por acción</t>
  </si>
  <si>
    <t>dividendos ITC</t>
  </si>
  <si>
    <t>total dividendos 2019</t>
  </si>
  <si>
    <t>Numero</t>
  </si>
  <si>
    <t>Pago de dividendos contra reservas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</si>
</sst>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d\-mmm\-yyyy"/>
    <numFmt numFmtId="166" formatCode="dd\-mm\-yy;@"/>
    <numFmt numFmtId="167" formatCode="_-* #,##0.00\ [$€]_-;\-* #,##0.00\ [$€]_-;_-* &quot;-&quot;??\ [$€]_-;_-@_-"/>
    <numFmt numFmtId="168" formatCode="#,##0.000000"/>
  </numFmts>
  <fonts count="82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6"/>
      <name val="Roboto-Regular"/>
      <family val="2"/>
    </font>
    <font>
      <sz val="12"/>
      <color indexed="17"/>
      <name val="Roboto-Regular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thin"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/>
      <bottom style="hair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medium">
        <color indexed="55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>
        <color indexed="55"/>
      </left>
      <right/>
      <top/>
      <bottom style="medium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hair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/>
      <right style="thin">
        <color indexed="55"/>
      </right>
      <top/>
      <bottom style="hair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hair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thin">
        <color indexed="55"/>
      </right>
      <top/>
      <bottom style="thin">
        <color indexed="55"/>
      </bottom>
    </border>
    <border>
      <left style="hair">
        <color indexed="55"/>
      </left>
      <right style="thin">
        <color indexed="55"/>
      </right>
      <top/>
      <bottom/>
    </border>
    <border>
      <left style="thin">
        <color indexed="55"/>
      </left>
      <right/>
      <top style="hair">
        <color indexed="55"/>
      </top>
      <bottom/>
    </border>
    <border>
      <left/>
      <right style="thin">
        <color indexed="55"/>
      </right>
      <top style="hair">
        <color indexed="55"/>
      </top>
      <bottom/>
    </border>
    <border>
      <left/>
      <right style="thin">
        <color indexed="55"/>
      </right>
      <top/>
      <bottom style="medium">
        <color indexed="55"/>
      </bottom>
    </border>
    <border>
      <left style="thin">
        <color indexed="55"/>
      </left>
      <right/>
      <top style="medium">
        <color indexed="55"/>
      </top>
      <bottom/>
    </border>
    <border>
      <left style="thin">
        <color indexed="55"/>
      </left>
      <right style="thin">
        <color indexed="55"/>
      </right>
      <top style="medium">
        <color indexed="55"/>
      </top>
      <bottom/>
    </border>
    <border>
      <left style="hair"/>
      <right style="hair"/>
      <top style="hair"/>
      <bottom style="hair"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thin">
        <color indexed="55"/>
      </left>
      <right style="thin">
        <color indexed="55"/>
      </right>
      <top style="hair">
        <color indexed="55"/>
      </top>
      <bottom/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hair">
        <color indexed="55"/>
      </left>
      <right style="thin">
        <color indexed="55"/>
      </right>
      <top/>
      <bottom style="hair">
        <color indexed="55"/>
      </bottom>
    </border>
    <border>
      <left/>
      <right/>
      <top style="hair">
        <color indexed="55"/>
      </top>
      <bottom/>
    </border>
    <border>
      <left style="medium">
        <color indexed="55"/>
      </left>
      <right style="thin">
        <color indexed="55"/>
      </right>
      <top/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/>
      <bottom style="hair">
        <color indexed="55"/>
      </bottom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 style="hair">
        <color indexed="55"/>
      </top>
      <bottom/>
    </border>
    <border>
      <left style="medium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hair">
        <color indexed="55"/>
      </bottom>
    </border>
    <border>
      <left/>
      <right style="medium">
        <color indexed="55"/>
      </right>
      <top/>
      <bottom style="hair">
        <color indexed="55"/>
      </bottom>
    </border>
    <border>
      <left/>
      <right style="medium">
        <color indexed="55"/>
      </right>
      <top style="hair">
        <color indexed="55"/>
      </top>
      <bottom style="hair">
        <color indexed="55"/>
      </bottom>
    </border>
    <border>
      <left/>
      <right style="medium">
        <color indexed="55"/>
      </right>
      <top style="hair">
        <color indexed="55"/>
      </top>
      <bottom/>
    </border>
    <border>
      <left/>
      <right style="medium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medium">
        <color indexed="55"/>
      </right>
      <top/>
      <bottom style="hair">
        <color indexed="55"/>
      </bottom>
    </border>
    <border>
      <left style="thin">
        <color indexed="55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medium">
        <color indexed="55"/>
      </right>
      <top style="hair">
        <color indexed="55"/>
      </top>
      <bottom/>
    </border>
    <border>
      <left style="thin">
        <color indexed="55"/>
      </left>
      <right style="medium">
        <color indexed="55"/>
      </right>
      <top style="hair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/>
      <bottom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ck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/>
      <right style="thin">
        <color indexed="55"/>
      </right>
      <top style="hair">
        <color indexed="55"/>
      </top>
      <bottom style="medium">
        <color indexed="55"/>
      </bottom>
    </border>
    <border>
      <left style="thin">
        <color indexed="55"/>
      </left>
      <right/>
      <top style="hair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hair">
        <color indexed="55"/>
      </right>
      <top/>
      <bottom/>
    </border>
    <border>
      <left style="thin">
        <color indexed="55"/>
      </left>
      <right/>
      <top style="medium">
        <color indexed="55"/>
      </top>
      <bottom style="hair">
        <color indexed="55"/>
      </bottom>
    </border>
    <border>
      <left/>
      <right style="thin">
        <color indexed="55"/>
      </right>
      <top style="medium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hair">
        <color indexed="55"/>
      </bottom>
    </border>
    <border>
      <left/>
      <right/>
      <top style="medium">
        <color indexed="55"/>
      </top>
      <bottom style="hair">
        <color indexed="55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/>
      <right style="medium">
        <color indexed="55"/>
      </right>
      <top/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/>
    </border>
    <border>
      <left style="thick">
        <color indexed="55"/>
      </left>
      <right style="thin">
        <color indexed="55"/>
      </right>
      <top/>
      <bottom/>
    </border>
    <border>
      <left style="thick">
        <color indexed="55"/>
      </left>
      <right style="thin">
        <color indexed="55"/>
      </right>
      <top/>
      <bottom style="hair">
        <color indexed="55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0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23" borderId="0" applyNumberFormat="0" applyBorder="0" applyAlignment="0" applyProtection="0"/>
    <xf numFmtId="0" fontId="56" fillId="3" borderId="0" applyNumberFormat="0" applyBorder="0" applyAlignment="0" applyProtection="0"/>
    <xf numFmtId="0" fontId="57" fillId="14" borderId="1" applyNumberFormat="0" applyAlignment="0" applyProtection="0"/>
    <xf numFmtId="0" fontId="57" fillId="14" borderId="1" applyNumberFormat="0" applyAlignment="0" applyProtection="0"/>
    <xf numFmtId="0" fontId="58" fillId="24" borderId="2" applyNumberFormat="0" applyAlignment="0" applyProtection="0"/>
    <xf numFmtId="0" fontId="65" fillId="0" borderId="3" applyNumberFormat="0" applyFill="0" applyAlignment="0" applyProtection="0"/>
    <xf numFmtId="0" fontId="58" fillId="24" borderId="2" applyNumberFormat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3" borderId="0" applyNumberFormat="0" applyBorder="0" applyAlignment="0" applyProtection="0"/>
    <xf numFmtId="0" fontId="55" fillId="18" borderId="0" applyNumberFormat="0" applyBorder="0" applyAlignment="0" applyProtection="0"/>
    <xf numFmtId="0" fontId="55" fillId="20" borderId="0" applyNumberFormat="0" applyBorder="0" applyAlignment="0" applyProtection="0"/>
    <xf numFmtId="0" fontId="64" fillId="7" borderId="1" applyNumberFormat="0" applyAlignment="0" applyProtection="0"/>
    <xf numFmtId="167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64" fillId="7" borderId="1" applyNumberFormat="0" applyAlignment="0" applyProtection="0"/>
    <xf numFmtId="0" fontId="6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5" borderId="0" applyNumberFormat="0" applyBorder="0" applyAlignment="0" applyProtection="0"/>
    <xf numFmtId="0" fontId="66" fillId="15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9" borderId="7" applyNumberFormat="0" applyFont="0" applyAlignment="0" applyProtection="0"/>
    <xf numFmtId="0" fontId="20" fillId="9" borderId="7" applyNumberFormat="0" applyFont="0" applyAlignment="0" applyProtection="0"/>
    <xf numFmtId="0" fontId="67" fillId="14" borderId="8" applyNumberForma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7" fillId="14" borderId="8" applyNumberFormat="0" applyAlignment="0" applyProtection="0"/>
    <xf numFmtId="0" fontId="7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9" fillId="0" borderId="11" applyNumberFormat="0" applyFill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</cellStyleXfs>
  <cellXfs count="1478">
    <xf numFmtId="0" fontId="0" fillId="0" borderId="0" xfId="0" applyAlignment="1">
      <alignment/>
    </xf>
    <xf numFmtId="0" fontId="3" fillId="8" borderId="0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8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0" fontId="3" fillId="8" borderId="18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left"/>
    </xf>
    <xf numFmtId="0" fontId="2" fillId="8" borderId="19" xfId="0" applyFont="1" applyFill="1" applyBorder="1" applyAlignment="1">
      <alignment/>
    </xf>
    <xf numFmtId="0" fontId="2" fillId="8" borderId="20" xfId="0" applyFont="1" applyFill="1" applyBorder="1" applyAlignment="1">
      <alignment/>
    </xf>
    <xf numFmtId="0" fontId="2" fillId="8" borderId="21" xfId="0" applyFont="1" applyFill="1" applyBorder="1" applyAlignment="1">
      <alignment/>
    </xf>
    <xf numFmtId="0" fontId="3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/>
    </xf>
    <xf numFmtId="0" fontId="7" fillId="8" borderId="16" xfId="0" applyFont="1" applyFill="1" applyBorder="1" applyAlignment="1">
      <alignment/>
    </xf>
    <xf numFmtId="0" fontId="3" fillId="8" borderId="17" xfId="0" applyFont="1" applyFill="1" applyBorder="1" applyAlignment="1">
      <alignment/>
    </xf>
    <xf numFmtId="0" fontId="2" fillId="8" borderId="22" xfId="0" applyFont="1" applyFill="1" applyBorder="1" applyAlignment="1">
      <alignment/>
    </xf>
    <xf numFmtId="0" fontId="8" fillId="8" borderId="18" xfId="0" applyFont="1" applyFill="1" applyBorder="1" applyAlignment="1">
      <alignment/>
    </xf>
    <xf numFmtId="0" fontId="8" fillId="8" borderId="18" xfId="0" applyFont="1" applyFill="1" applyBorder="1" applyAlignment="1">
      <alignment horizontal="center" wrapText="1"/>
    </xf>
    <xf numFmtId="0" fontId="9" fillId="8" borderId="23" xfId="0" applyFont="1" applyFill="1" applyBorder="1" applyAlignment="1">
      <alignment/>
    </xf>
    <xf numFmtId="0" fontId="9" fillId="8" borderId="24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9" fillId="8" borderId="0" xfId="0" applyFont="1" applyFill="1" applyBorder="1" applyAlignment="1">
      <alignment horizontal="left"/>
    </xf>
    <xf numFmtId="165" fontId="9" fillId="8" borderId="0" xfId="0" applyNumberFormat="1" applyFont="1" applyFill="1" applyBorder="1" applyAlignment="1">
      <alignment horizontal="center"/>
    </xf>
    <xf numFmtId="0" fontId="9" fillId="8" borderId="22" xfId="0" applyFont="1" applyFill="1" applyBorder="1" applyAlignment="1">
      <alignment/>
    </xf>
    <xf numFmtId="165" fontId="2" fillId="8" borderId="20" xfId="0" applyNumberFormat="1" applyFont="1" applyFill="1" applyBorder="1" applyAlignment="1">
      <alignment horizontal="center"/>
    </xf>
    <xf numFmtId="165" fontId="2" fillId="8" borderId="0" xfId="0" applyNumberFormat="1" applyFont="1" applyFill="1" applyAlignment="1">
      <alignment horizontal="center"/>
    </xf>
    <xf numFmtId="0" fontId="10" fillId="8" borderId="0" xfId="0" applyFont="1" applyFill="1" applyBorder="1" applyAlignment="1">
      <alignment/>
    </xf>
    <xf numFmtId="0" fontId="10" fillId="8" borderId="0" xfId="0" applyFont="1" applyFill="1" applyAlignment="1">
      <alignment/>
    </xf>
    <xf numFmtId="0" fontId="3" fillId="26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right"/>
    </xf>
    <xf numFmtId="0" fontId="10" fillId="8" borderId="0" xfId="0" applyFont="1" applyFill="1" applyAlignment="1">
      <alignment/>
    </xf>
    <xf numFmtId="165" fontId="10" fillId="8" borderId="0" xfId="0" applyNumberFormat="1" applyFont="1" applyFill="1" applyAlignment="1">
      <alignment horizontal="center"/>
    </xf>
    <xf numFmtId="0" fontId="10" fillId="8" borderId="0" xfId="0" applyFont="1" applyFill="1" applyBorder="1" applyAlignment="1">
      <alignment/>
    </xf>
    <xf numFmtId="0" fontId="10" fillId="8" borderId="13" xfId="0" applyFont="1" applyFill="1" applyBorder="1" applyAlignment="1">
      <alignment/>
    </xf>
    <xf numFmtId="0" fontId="10" fillId="8" borderId="14" xfId="0" applyFont="1" applyFill="1" applyBorder="1" applyAlignment="1">
      <alignment/>
    </xf>
    <xf numFmtId="0" fontId="10" fillId="8" borderId="15" xfId="0" applyFont="1" applyFill="1" applyBorder="1" applyAlignment="1">
      <alignment/>
    </xf>
    <xf numFmtId="0" fontId="10" fillId="8" borderId="16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0" fillId="8" borderId="17" xfId="0" applyFont="1" applyFill="1" applyBorder="1" applyAlignment="1">
      <alignment/>
    </xf>
    <xf numFmtId="0" fontId="13" fillId="8" borderId="0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/>
    </xf>
    <xf numFmtId="0" fontId="10" fillId="8" borderId="20" xfId="0" applyFont="1" applyFill="1" applyBorder="1" applyAlignment="1">
      <alignment horizontal="left"/>
    </xf>
    <xf numFmtId="0" fontId="10" fillId="8" borderId="2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2" fillId="8" borderId="0" xfId="0" applyFont="1" applyFill="1" applyAlignment="1">
      <alignment/>
    </xf>
    <xf numFmtId="0" fontId="7" fillId="8" borderId="17" xfId="0" applyFont="1" applyFill="1" applyBorder="1" applyAlignment="1">
      <alignment/>
    </xf>
    <xf numFmtId="0" fontId="5" fillId="8" borderId="0" xfId="0" applyFont="1" applyFill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/>
    </xf>
    <xf numFmtId="0" fontId="2" fillId="8" borderId="0" xfId="0" applyFont="1" applyFill="1" applyAlignment="1">
      <alignment horizontal="left"/>
    </xf>
    <xf numFmtId="0" fontId="5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left"/>
    </xf>
    <xf numFmtId="0" fontId="10" fillId="14" borderId="0" xfId="0" applyFont="1" applyFill="1" applyBorder="1" applyAlignment="1">
      <alignment/>
    </xf>
    <xf numFmtId="0" fontId="3" fillId="8" borderId="25" xfId="0" applyFont="1" applyFill="1" applyBorder="1" applyAlignment="1">
      <alignment horizontal="center"/>
    </xf>
    <xf numFmtId="0" fontId="3" fillId="8" borderId="25" xfId="0" applyFont="1" applyFill="1" applyBorder="1" applyAlignment="1">
      <alignment/>
    </xf>
    <xf numFmtId="0" fontId="2" fillId="8" borderId="26" xfId="0" applyFont="1" applyFill="1" applyBorder="1" applyAlignment="1">
      <alignment/>
    </xf>
    <xf numFmtId="0" fontId="2" fillId="8" borderId="27" xfId="0" applyFont="1" applyFill="1" applyBorder="1" applyAlignment="1">
      <alignment/>
    </xf>
    <xf numFmtId="0" fontId="2" fillId="8" borderId="28" xfId="0" applyFont="1" applyFill="1" applyBorder="1" applyAlignment="1">
      <alignment/>
    </xf>
    <xf numFmtId="0" fontId="5" fillId="8" borderId="29" xfId="0" applyFont="1" applyFill="1" applyBorder="1" applyAlignment="1">
      <alignment/>
    </xf>
    <xf numFmtId="0" fontId="7" fillId="8" borderId="0" xfId="0" applyFont="1" applyFill="1" applyAlignment="1">
      <alignment/>
    </xf>
    <xf numFmtId="0" fontId="5" fillId="8" borderId="20" xfId="0" applyFont="1" applyFill="1" applyBorder="1" applyAlignment="1">
      <alignment/>
    </xf>
    <xf numFmtId="2" fontId="2" fillId="8" borderId="14" xfId="0" applyNumberFormat="1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5" fillId="8" borderId="20" xfId="0" applyFont="1" applyFill="1" applyBorder="1" applyAlignment="1">
      <alignment/>
    </xf>
    <xf numFmtId="0" fontId="17" fillId="8" borderId="16" xfId="0" applyFont="1" applyFill="1" applyBorder="1" applyAlignment="1">
      <alignment/>
    </xf>
    <xf numFmtId="0" fontId="17" fillId="8" borderId="17" xfId="0" applyFont="1" applyFill="1" applyBorder="1" applyAlignment="1">
      <alignment/>
    </xf>
    <xf numFmtId="0" fontId="17" fillId="8" borderId="0" xfId="0" applyFont="1" applyFill="1" applyAlignment="1">
      <alignment/>
    </xf>
    <xf numFmtId="0" fontId="15" fillId="8" borderId="20" xfId="0" applyFont="1" applyFill="1" applyBorder="1" applyAlignment="1">
      <alignment horizontal="left"/>
    </xf>
    <xf numFmtId="0" fontId="5" fillId="8" borderId="25" xfId="0" applyFont="1" applyFill="1" applyBorder="1" applyAlignment="1">
      <alignment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/>
    </xf>
    <xf numFmtId="0" fontId="16" fillId="8" borderId="0" xfId="0" applyFont="1" applyFill="1" applyBorder="1" applyAlignment="1">
      <alignment/>
    </xf>
    <xf numFmtId="4" fontId="10" fillId="8" borderId="0" xfId="0" applyNumberFormat="1" applyFont="1" applyFill="1" applyAlignment="1">
      <alignment/>
    </xf>
    <xf numFmtId="4" fontId="10" fillId="8" borderId="14" xfId="0" applyNumberFormat="1" applyFont="1" applyFill="1" applyBorder="1" applyAlignment="1">
      <alignment/>
    </xf>
    <xf numFmtId="4" fontId="10" fillId="8" borderId="0" xfId="0" applyNumberFormat="1" applyFont="1" applyFill="1" applyBorder="1" applyAlignment="1">
      <alignment/>
    </xf>
    <xf numFmtId="4" fontId="13" fillId="8" borderId="0" xfId="0" applyNumberFormat="1" applyFont="1" applyFill="1" applyBorder="1" applyAlignment="1">
      <alignment horizontal="center" vertical="center"/>
    </xf>
    <xf numFmtId="4" fontId="5" fillId="10" borderId="0" xfId="0" applyNumberFormat="1" applyFont="1" applyFill="1" applyBorder="1" applyAlignment="1">
      <alignment vertical="center"/>
    </xf>
    <xf numFmtId="4" fontId="5" fillId="8" borderId="0" xfId="0" applyNumberFormat="1" applyFont="1" applyFill="1" applyBorder="1" applyAlignment="1">
      <alignment vertical="center"/>
    </xf>
    <xf numFmtId="4" fontId="10" fillId="8" borderId="20" xfId="0" applyNumberFormat="1" applyFont="1" applyFill="1" applyBorder="1" applyAlignment="1">
      <alignment/>
    </xf>
    <xf numFmtId="4" fontId="12" fillId="8" borderId="0" xfId="0" applyNumberFormat="1" applyFont="1" applyFill="1" applyAlignment="1">
      <alignment horizontal="right"/>
    </xf>
    <xf numFmtId="4" fontId="5" fillId="8" borderId="0" xfId="0" applyNumberFormat="1" applyFont="1" applyFill="1" applyBorder="1" applyAlignment="1">
      <alignment horizontal="left" vertical="center"/>
    </xf>
    <xf numFmtId="0" fontId="10" fillId="8" borderId="0" xfId="0" applyFont="1" applyFill="1" applyAlignment="1">
      <alignment horizontal="left"/>
    </xf>
    <xf numFmtId="4" fontId="10" fillId="8" borderId="0" xfId="0" applyNumberFormat="1" applyFont="1" applyFill="1" applyAlignment="1">
      <alignment horizontal="left"/>
    </xf>
    <xf numFmtId="0" fontId="10" fillId="8" borderId="13" xfId="0" applyFont="1" applyFill="1" applyBorder="1" applyAlignment="1">
      <alignment horizontal="left"/>
    </xf>
    <xf numFmtId="0" fontId="10" fillId="8" borderId="14" xfId="0" applyFont="1" applyFill="1" applyBorder="1" applyAlignment="1">
      <alignment horizontal="left"/>
    </xf>
    <xf numFmtId="4" fontId="10" fillId="8" borderId="14" xfId="0" applyNumberFormat="1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0" fontId="10" fillId="8" borderId="16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4" fontId="10" fillId="8" borderId="0" xfId="0" applyNumberFormat="1" applyFont="1" applyFill="1" applyBorder="1" applyAlignment="1">
      <alignment horizontal="left"/>
    </xf>
    <xf numFmtId="0" fontId="10" fillId="8" borderId="17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4" fontId="13" fillId="8" borderId="0" xfId="0" applyNumberFormat="1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left"/>
    </xf>
    <xf numFmtId="0" fontId="7" fillId="8" borderId="16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left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left"/>
    </xf>
    <xf numFmtId="0" fontId="8" fillId="8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/>
    </xf>
    <xf numFmtId="0" fontId="10" fillId="8" borderId="19" xfId="0" applyFont="1" applyFill="1" applyBorder="1" applyAlignment="1">
      <alignment horizontal="left"/>
    </xf>
    <xf numFmtId="4" fontId="10" fillId="8" borderId="20" xfId="0" applyNumberFormat="1" applyFont="1" applyFill="1" applyBorder="1" applyAlignment="1">
      <alignment horizontal="left"/>
    </xf>
    <xf numFmtId="0" fontId="10" fillId="8" borderId="21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10" fillId="8" borderId="0" xfId="0" applyFont="1" applyFill="1" applyAlignment="1">
      <alignment horizontal="left"/>
    </xf>
    <xf numFmtId="3" fontId="3" fillId="8" borderId="30" xfId="0" applyNumberFormat="1" applyFont="1" applyFill="1" applyBorder="1" applyAlignment="1">
      <alignment horizontal="center" vertical="center"/>
    </xf>
    <xf numFmtId="4" fontId="3" fillId="8" borderId="30" xfId="0" applyNumberFormat="1" applyFont="1" applyFill="1" applyBorder="1" applyAlignment="1">
      <alignment vertical="center"/>
    </xf>
    <xf numFmtId="0" fontId="13" fillId="8" borderId="17" xfId="0" applyFont="1" applyFill="1" applyBorder="1" applyAlignment="1">
      <alignment horizontal="left"/>
    </xf>
    <xf numFmtId="0" fontId="13" fillId="8" borderId="0" xfId="0" applyFont="1" applyFill="1" applyAlignment="1">
      <alignment horizontal="left"/>
    </xf>
    <xf numFmtId="0" fontId="10" fillId="8" borderId="31" xfId="0" applyFont="1" applyFill="1" applyBorder="1" applyAlignment="1">
      <alignment/>
    </xf>
    <xf numFmtId="4" fontId="5" fillId="8" borderId="32" xfId="0" applyNumberFormat="1" applyFont="1" applyFill="1" applyBorder="1" applyAlignment="1">
      <alignment/>
    </xf>
    <xf numFmtId="4" fontId="3" fillId="8" borderId="32" xfId="0" applyNumberFormat="1" applyFont="1" applyFill="1" applyBorder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34" xfId="0" applyNumberFormat="1" applyFont="1" applyFill="1" applyBorder="1" applyAlignment="1">
      <alignment/>
    </xf>
    <xf numFmtId="4" fontId="10" fillId="8" borderId="31" xfId="0" applyNumberFormat="1" applyFont="1" applyFill="1" applyBorder="1" applyAlignment="1">
      <alignment/>
    </xf>
    <xf numFmtId="4" fontId="15" fillId="8" borderId="35" xfId="0" applyNumberFormat="1" applyFont="1" applyFill="1" applyBorder="1" applyAlignment="1">
      <alignment/>
    </xf>
    <xf numFmtId="0" fontId="5" fillId="8" borderId="36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16" fillId="8" borderId="36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left"/>
    </xf>
    <xf numFmtId="4" fontId="3" fillId="8" borderId="0" xfId="0" applyNumberFormat="1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4" fontId="7" fillId="8" borderId="0" xfId="0" applyNumberFormat="1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left" vertical="center"/>
    </xf>
    <xf numFmtId="0" fontId="2" fillId="8" borderId="39" xfId="0" applyFont="1" applyFill="1" applyBorder="1" applyAlignment="1">
      <alignment horizontal="left" vertical="center"/>
    </xf>
    <xf numFmtId="0" fontId="2" fillId="8" borderId="27" xfId="0" applyFont="1" applyFill="1" applyBorder="1" applyAlignment="1">
      <alignment horizontal="left" vertical="center"/>
    </xf>
    <xf numFmtId="0" fontId="2" fillId="8" borderId="41" xfId="0" applyFont="1" applyFill="1" applyBorder="1" applyAlignment="1">
      <alignment horizontal="left" vertical="center"/>
    </xf>
    <xf numFmtId="0" fontId="2" fillId="8" borderId="42" xfId="0" applyFont="1" applyFill="1" applyBorder="1" applyAlignment="1">
      <alignment horizontal="left" vertical="center"/>
    </xf>
    <xf numFmtId="0" fontId="3" fillId="8" borderId="43" xfId="0" applyFont="1" applyFill="1" applyBorder="1" applyAlignment="1">
      <alignment horizontal="left" vertical="center"/>
    </xf>
    <xf numFmtId="0" fontId="22" fillId="14" borderId="44" xfId="89" applyFont="1" applyFill="1" applyBorder="1" applyAlignment="1">
      <alignment horizontal="center" wrapText="1"/>
      <protection/>
    </xf>
    <xf numFmtId="0" fontId="3" fillId="8" borderId="29" xfId="0" applyFont="1" applyFill="1" applyBorder="1" applyAlignment="1">
      <alignment horizontal="left" vertical="center"/>
    </xf>
    <xf numFmtId="4" fontId="3" fillId="8" borderId="45" xfId="0" applyNumberFormat="1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/>
    </xf>
    <xf numFmtId="0" fontId="2" fillId="8" borderId="43" xfId="0" applyFont="1" applyFill="1" applyBorder="1" applyAlignment="1">
      <alignment horizontal="left" vertical="center"/>
    </xf>
    <xf numFmtId="0" fontId="2" fillId="8" borderId="29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26" fillId="8" borderId="0" xfId="0" applyFont="1" applyFill="1" applyBorder="1" applyAlignment="1">
      <alignment horizontal="left" vertical="center"/>
    </xf>
    <xf numFmtId="4" fontId="26" fillId="8" borderId="0" xfId="0" applyNumberFormat="1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left" vertical="center"/>
    </xf>
    <xf numFmtId="4" fontId="3" fillId="8" borderId="33" xfId="0" applyNumberFormat="1" applyFont="1" applyFill="1" applyBorder="1" applyAlignment="1">
      <alignment vertical="center"/>
    </xf>
    <xf numFmtId="4" fontId="2" fillId="8" borderId="33" xfId="0" applyNumberFormat="1" applyFont="1" applyFill="1" applyBorder="1" applyAlignment="1">
      <alignment vertical="center"/>
    </xf>
    <xf numFmtId="4" fontId="2" fillId="8" borderId="46" xfId="0" applyNumberFormat="1" applyFont="1" applyFill="1" applyBorder="1" applyAlignment="1">
      <alignment vertical="center"/>
    </xf>
    <xf numFmtId="4" fontId="3" fillId="8" borderId="34" xfId="0" applyNumberFormat="1" applyFont="1" applyFill="1" applyBorder="1" applyAlignment="1">
      <alignment vertical="center"/>
    </xf>
    <xf numFmtId="4" fontId="3" fillId="8" borderId="46" xfId="0" applyNumberFormat="1" applyFont="1" applyFill="1" applyBorder="1" applyAlignment="1">
      <alignment vertical="center"/>
    </xf>
    <xf numFmtId="4" fontId="3" fillId="8" borderId="47" xfId="0" applyNumberFormat="1" applyFont="1" applyFill="1" applyBorder="1" applyAlignment="1">
      <alignment vertical="center"/>
    </xf>
    <xf numFmtId="4" fontId="3" fillId="8" borderId="48" xfId="0" applyNumberFormat="1" applyFont="1" applyFill="1" applyBorder="1" applyAlignment="1">
      <alignment vertical="center"/>
    </xf>
    <xf numFmtId="4" fontId="3" fillId="8" borderId="45" xfId="0" applyNumberFormat="1" applyFont="1" applyFill="1" applyBorder="1" applyAlignment="1">
      <alignment vertical="center"/>
    </xf>
    <xf numFmtId="0" fontId="3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left" vertical="center"/>
    </xf>
    <xf numFmtId="4" fontId="3" fillId="8" borderId="51" xfId="0" applyNumberFormat="1" applyFont="1" applyFill="1" applyBorder="1" applyAlignment="1">
      <alignment vertical="center"/>
    </xf>
    <xf numFmtId="4" fontId="3" fillId="8" borderId="52" xfId="0" applyNumberFormat="1" applyFont="1" applyFill="1" applyBorder="1" applyAlignment="1">
      <alignment vertical="center"/>
    </xf>
    <xf numFmtId="0" fontId="22" fillId="8" borderId="0" xfId="89" applyFont="1" applyFill="1" applyBorder="1" applyAlignment="1">
      <alignment horizontal="center" wrapText="1"/>
      <protection/>
    </xf>
    <xf numFmtId="0" fontId="2" fillId="8" borderId="16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left"/>
    </xf>
    <xf numFmtId="0" fontId="2" fillId="8" borderId="0" xfId="0" applyFont="1" applyFill="1" applyAlignment="1">
      <alignment horizontal="left"/>
    </xf>
    <xf numFmtId="0" fontId="3" fillId="8" borderId="53" xfId="0" applyFont="1" applyFill="1" applyBorder="1" applyAlignment="1">
      <alignment horizontal="left" vertical="center"/>
    </xf>
    <xf numFmtId="0" fontId="3" fillId="8" borderId="49" xfId="0" applyFont="1" applyFill="1" applyBorder="1" applyAlignment="1">
      <alignment horizontal="left" vertical="center"/>
    </xf>
    <xf numFmtId="4" fontId="3" fillId="8" borderId="54" xfId="0" applyNumberFormat="1" applyFont="1" applyFill="1" applyBorder="1" applyAlignment="1">
      <alignment vertical="center"/>
    </xf>
    <xf numFmtId="0" fontId="2" fillId="8" borderId="50" xfId="0" applyFont="1" applyFill="1" applyBorder="1" applyAlignment="1">
      <alignment horizontal="center" vertical="center"/>
    </xf>
    <xf numFmtId="4" fontId="2" fillId="8" borderId="51" xfId="0" applyNumberFormat="1" applyFont="1" applyFill="1" applyBorder="1" applyAlignment="1">
      <alignment vertical="center"/>
    </xf>
    <xf numFmtId="0" fontId="8" fillId="14" borderId="55" xfId="0" applyFont="1" applyFill="1" applyBorder="1" applyAlignment="1">
      <alignment horizontal="left" vertical="center"/>
    </xf>
    <xf numFmtId="0" fontId="8" fillId="14" borderId="44" xfId="0" applyFont="1" applyFill="1" applyBorder="1" applyAlignment="1">
      <alignment horizontal="left" vertical="center"/>
    </xf>
    <xf numFmtId="0" fontId="3" fillId="14" borderId="56" xfId="0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left"/>
    </xf>
    <xf numFmtId="0" fontId="5" fillId="14" borderId="57" xfId="0" applyFont="1" applyFill="1" applyBorder="1" applyAlignment="1">
      <alignment horizontal="left"/>
    </xf>
    <xf numFmtId="0" fontId="22" fillId="14" borderId="32" xfId="89" applyFont="1" applyFill="1" applyBorder="1" applyAlignment="1">
      <alignment horizontal="center" wrapText="1"/>
      <protection/>
    </xf>
    <xf numFmtId="0" fontId="24" fillId="14" borderId="58" xfId="89" applyFont="1" applyFill="1" applyBorder="1" applyAlignment="1">
      <alignment horizontal="center" wrapText="1"/>
      <protection/>
    </xf>
    <xf numFmtId="0" fontId="24" fillId="14" borderId="59" xfId="89" applyFont="1" applyFill="1" applyBorder="1" applyAlignment="1">
      <alignment horizontal="center" wrapText="1"/>
      <protection/>
    </xf>
    <xf numFmtId="0" fontId="24" fillId="14" borderId="60" xfId="89" applyFont="1" applyFill="1" applyBorder="1" applyAlignment="1">
      <alignment horizontal="center" wrapText="1"/>
      <protection/>
    </xf>
    <xf numFmtId="0" fontId="5" fillId="14" borderId="57" xfId="0" applyFont="1" applyFill="1" applyBorder="1" applyAlignment="1">
      <alignment horizontal="left" vertical="center"/>
    </xf>
    <xf numFmtId="0" fontId="22" fillId="14" borderId="31" xfId="89" applyFont="1" applyFill="1" applyBorder="1" applyAlignment="1">
      <alignment horizontal="center" wrapText="1"/>
      <protection/>
    </xf>
    <xf numFmtId="0" fontId="5" fillId="14" borderId="37" xfId="0" applyFont="1" applyFill="1" applyBorder="1" applyAlignment="1">
      <alignment horizontal="left" vertical="center"/>
    </xf>
    <xf numFmtId="0" fontId="3" fillId="8" borderId="61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/>
    </xf>
    <xf numFmtId="0" fontId="10" fillId="14" borderId="62" xfId="0" applyFont="1" applyFill="1" applyBorder="1" applyAlignment="1">
      <alignment/>
    </xf>
    <xf numFmtId="0" fontId="3" fillId="14" borderId="56" xfId="0" applyFont="1" applyFill="1" applyBorder="1" applyAlignment="1">
      <alignment horizontal="center"/>
    </xf>
    <xf numFmtId="0" fontId="6" fillId="14" borderId="36" xfId="0" applyFont="1" applyFill="1" applyBorder="1" applyAlignment="1">
      <alignment/>
    </xf>
    <xf numFmtId="0" fontId="15" fillId="14" borderId="31" xfId="0" applyFont="1" applyFill="1" applyBorder="1" applyAlignment="1">
      <alignment horizontal="center"/>
    </xf>
    <xf numFmtId="4" fontId="7" fillId="8" borderId="36" xfId="0" applyNumberFormat="1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4" fontId="3" fillId="8" borderId="0" xfId="0" applyNumberFormat="1" applyFont="1" applyFill="1" applyBorder="1" applyAlignment="1">
      <alignment vertical="center"/>
    </xf>
    <xf numFmtId="4" fontId="2" fillId="8" borderId="0" xfId="0" applyNumberFormat="1" applyFont="1" applyFill="1" applyBorder="1" applyAlignment="1">
      <alignment vertical="center"/>
    </xf>
    <xf numFmtId="4" fontId="2" fillId="8" borderId="0" xfId="0" applyNumberFormat="1" applyFont="1" applyFill="1" applyBorder="1" applyAlignment="1">
      <alignment horizontal="left" vertical="center"/>
    </xf>
    <xf numFmtId="0" fontId="3" fillId="8" borderId="43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left"/>
    </xf>
    <xf numFmtId="0" fontId="22" fillId="14" borderId="56" xfId="89" applyFont="1" applyFill="1" applyBorder="1" applyAlignment="1">
      <alignment horizontal="center" wrapText="1"/>
      <protection/>
    </xf>
    <xf numFmtId="0" fontId="3" fillId="14" borderId="36" xfId="0" applyFont="1" applyFill="1" applyBorder="1" applyAlignment="1">
      <alignment horizontal="left"/>
    </xf>
    <xf numFmtId="0" fontId="3" fillId="14" borderId="62" xfId="0" applyFont="1" applyFill="1" applyBorder="1" applyAlignment="1">
      <alignment horizontal="left"/>
    </xf>
    <xf numFmtId="0" fontId="3" fillId="14" borderId="0" xfId="0" applyFont="1" applyFill="1" applyBorder="1" applyAlignment="1">
      <alignment horizontal="left"/>
    </xf>
    <xf numFmtId="0" fontId="22" fillId="14" borderId="63" xfId="89" applyFont="1" applyFill="1" applyBorder="1" applyAlignment="1">
      <alignment horizontal="center" wrapText="1"/>
      <protection/>
    </xf>
    <xf numFmtId="4" fontId="3" fillId="8" borderId="64" xfId="0" applyNumberFormat="1" applyFont="1" applyFill="1" applyBorder="1" applyAlignment="1">
      <alignment vertical="center"/>
    </xf>
    <xf numFmtId="4" fontId="3" fillId="8" borderId="65" xfId="0" applyNumberFormat="1" applyFont="1" applyFill="1" applyBorder="1" applyAlignment="1">
      <alignment vertical="center"/>
    </xf>
    <xf numFmtId="4" fontId="3" fillId="8" borderId="29" xfId="0" applyNumberFormat="1" applyFont="1" applyFill="1" applyBorder="1" applyAlignment="1">
      <alignment vertical="center"/>
    </xf>
    <xf numFmtId="0" fontId="2" fillId="8" borderId="66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" fontId="9" fillId="8" borderId="0" xfId="0" applyNumberFormat="1" applyFont="1" applyFill="1" applyBorder="1" applyAlignment="1">
      <alignment horizontal="left"/>
    </xf>
    <xf numFmtId="4" fontId="9" fillId="8" borderId="67" xfId="0" applyNumberFormat="1" applyFont="1" applyFill="1" applyBorder="1" applyAlignment="1">
      <alignment horizontal="left"/>
    </xf>
    <xf numFmtId="4" fontId="9" fillId="8" borderId="68" xfId="0" applyNumberFormat="1" applyFont="1" applyFill="1" applyBorder="1" applyAlignment="1">
      <alignment horizontal="left"/>
    </xf>
    <xf numFmtId="4" fontId="9" fillId="8" borderId="69" xfId="0" applyNumberFormat="1" applyFont="1" applyFill="1" applyBorder="1" applyAlignment="1">
      <alignment horizontal="left"/>
    </xf>
    <xf numFmtId="4" fontId="3" fillId="8" borderId="70" xfId="0" applyNumberFormat="1" applyFont="1" applyFill="1" applyBorder="1" applyAlignment="1">
      <alignment vertical="center"/>
    </xf>
    <xf numFmtId="4" fontId="3" fillId="8" borderId="71" xfId="0" applyNumberFormat="1" applyFont="1" applyFill="1" applyBorder="1" applyAlignment="1">
      <alignment vertical="center"/>
    </xf>
    <xf numFmtId="0" fontId="22" fillId="14" borderId="72" xfId="89" applyFont="1" applyFill="1" applyBorder="1" applyAlignment="1">
      <alignment horizontal="center" wrapText="1"/>
      <protection/>
    </xf>
    <xf numFmtId="0" fontId="22" fillId="14" borderId="73" xfId="89" applyFont="1" applyFill="1" applyBorder="1" applyAlignment="1">
      <alignment horizontal="center" wrapText="1"/>
      <protection/>
    </xf>
    <xf numFmtId="0" fontId="22" fillId="14" borderId="74" xfId="89" applyFont="1" applyFill="1" applyBorder="1" applyAlignment="1">
      <alignment horizontal="center" wrapText="1"/>
      <protection/>
    </xf>
    <xf numFmtId="0" fontId="10" fillId="8" borderId="0" xfId="0" applyFont="1" applyFill="1" applyAlignment="1">
      <alignment horizontal="left" vertical="center"/>
    </xf>
    <xf numFmtId="0" fontId="9" fillId="8" borderId="16" xfId="0" applyFont="1" applyFill="1" applyBorder="1" applyAlignment="1">
      <alignment horizontal="left" vertical="center"/>
    </xf>
    <xf numFmtId="0" fontId="3" fillId="14" borderId="62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left" vertical="center"/>
    </xf>
    <xf numFmtId="0" fontId="22" fillId="14" borderId="74" xfId="89" applyFont="1" applyFill="1" applyBorder="1" applyAlignment="1">
      <alignment horizontal="center" vertical="center" wrapText="1"/>
      <protection/>
    </xf>
    <xf numFmtId="0" fontId="2" fillId="8" borderId="17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2" fillId="14" borderId="60" xfId="89" applyFont="1" applyFill="1" applyBorder="1" applyAlignment="1">
      <alignment horizontal="center" vertical="center" wrapText="1"/>
      <protection/>
    </xf>
    <xf numFmtId="0" fontId="25" fillId="8" borderId="0" xfId="0" applyFont="1" applyFill="1" applyAlignment="1">
      <alignment horizontal="left"/>
    </xf>
    <xf numFmtId="0" fontId="22" fillId="14" borderId="75" xfId="89" applyFont="1" applyFill="1" applyBorder="1" applyAlignment="1">
      <alignment horizontal="center" vertical="center" wrapText="1"/>
      <protection/>
    </xf>
    <xf numFmtId="4" fontId="29" fillId="8" borderId="0" xfId="0" applyNumberFormat="1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vertical="center" wrapText="1"/>
    </xf>
    <xf numFmtId="0" fontId="3" fillId="14" borderId="55" xfId="0" applyFont="1" applyFill="1" applyBorder="1" applyAlignment="1">
      <alignment horizontal="center" vertical="center"/>
    </xf>
    <xf numFmtId="0" fontId="3" fillId="14" borderId="36" xfId="0" applyFont="1" applyFill="1" applyBorder="1" applyAlignment="1">
      <alignment horizontal="center" vertical="center"/>
    </xf>
    <xf numFmtId="0" fontId="3" fillId="14" borderId="37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63" xfId="0" applyFont="1" applyFill="1" applyBorder="1" applyAlignment="1">
      <alignment horizontal="center" vertical="center"/>
    </xf>
    <xf numFmtId="0" fontId="3" fillId="14" borderId="57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left" vertical="center"/>
    </xf>
    <xf numFmtId="0" fontId="2" fillId="8" borderId="48" xfId="0" applyFont="1" applyFill="1" applyBorder="1" applyAlignment="1">
      <alignment horizontal="left" vertical="center"/>
    </xf>
    <xf numFmtId="4" fontId="5" fillId="8" borderId="61" xfId="0" applyNumberFormat="1" applyFont="1" applyFill="1" applyBorder="1" applyAlignment="1">
      <alignment horizontal="left" vertical="center"/>
    </xf>
    <xf numFmtId="0" fontId="3" fillId="14" borderId="54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left" vertical="center"/>
    </xf>
    <xf numFmtId="0" fontId="2" fillId="8" borderId="53" xfId="0" applyFont="1" applyFill="1" applyBorder="1" applyAlignment="1">
      <alignment horizontal="left"/>
    </xf>
    <xf numFmtId="4" fontId="3" fillId="8" borderId="30" xfId="0" applyNumberFormat="1" applyFont="1" applyFill="1" applyBorder="1" applyAlignment="1">
      <alignment/>
    </xf>
    <xf numFmtId="4" fontId="3" fillId="8" borderId="45" xfId="0" applyNumberFormat="1" applyFont="1" applyFill="1" applyBorder="1" applyAlignment="1">
      <alignment/>
    </xf>
    <xf numFmtId="0" fontId="3" fillId="8" borderId="37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left"/>
    </xf>
    <xf numFmtId="0" fontId="2" fillId="8" borderId="0" xfId="0" applyFont="1" applyFill="1" applyAlignment="1">
      <alignment/>
    </xf>
    <xf numFmtId="0" fontId="3" fillId="14" borderId="61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vertical="center"/>
    </xf>
    <xf numFmtId="0" fontId="9" fillId="8" borderId="66" xfId="0" applyFont="1" applyFill="1" applyBorder="1" applyAlignment="1">
      <alignment vertical="center"/>
    </xf>
    <xf numFmtId="0" fontId="9" fillId="8" borderId="51" xfId="0" applyFont="1" applyFill="1" applyBorder="1" applyAlignment="1">
      <alignment horizontal="left" vertical="center"/>
    </xf>
    <xf numFmtId="4" fontId="8" fillId="8" borderId="0" xfId="0" applyNumberFormat="1" applyFont="1" applyFill="1" applyBorder="1" applyAlignment="1">
      <alignment horizontal="left" vertical="center"/>
    </xf>
    <xf numFmtId="0" fontId="9" fillId="8" borderId="39" xfId="0" applyFont="1" applyFill="1" applyBorder="1" applyAlignment="1">
      <alignment vertical="center"/>
    </xf>
    <xf numFmtId="0" fontId="9" fillId="8" borderId="47" xfId="0" applyFont="1" applyFill="1" applyBorder="1" applyAlignment="1">
      <alignment vertical="center"/>
    </xf>
    <xf numFmtId="0" fontId="9" fillId="8" borderId="76" xfId="0" applyFont="1" applyFill="1" applyBorder="1" applyAlignment="1">
      <alignment vertical="center"/>
    </xf>
    <xf numFmtId="0" fontId="9" fillId="8" borderId="77" xfId="0" applyFont="1" applyFill="1" applyBorder="1" applyAlignment="1">
      <alignment vertical="center"/>
    </xf>
    <xf numFmtId="0" fontId="5" fillId="14" borderId="32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left"/>
    </xf>
    <xf numFmtId="4" fontId="3" fillId="27" borderId="45" xfId="0" applyNumberFormat="1" applyFont="1" applyFill="1" applyBorder="1" applyAlignment="1">
      <alignment/>
    </xf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3" fillId="8" borderId="0" xfId="0" applyFont="1" applyFill="1" applyAlignment="1">
      <alignment horizontal="left"/>
    </xf>
    <xf numFmtId="4" fontId="3" fillId="8" borderId="54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 horizontal="right" vertical="center"/>
    </xf>
    <xf numFmtId="10" fontId="3" fillId="27" borderId="45" xfId="0" applyNumberFormat="1" applyFont="1" applyFill="1" applyBorder="1" applyAlignment="1">
      <alignment horizontal="right"/>
    </xf>
    <xf numFmtId="10" fontId="3" fillId="8" borderId="61" xfId="109" applyNumberFormat="1" applyFont="1" applyFill="1" applyBorder="1" applyAlignment="1">
      <alignment horizontal="right"/>
    </xf>
    <xf numFmtId="10" fontId="2" fillId="8" borderId="52" xfId="0" applyNumberFormat="1" applyFont="1" applyFill="1" applyBorder="1" applyAlignment="1">
      <alignment horizontal="right" vertical="center"/>
    </xf>
    <xf numFmtId="10" fontId="2" fillId="8" borderId="47" xfId="0" applyNumberFormat="1" applyFont="1" applyFill="1" applyBorder="1" applyAlignment="1">
      <alignment horizontal="right" vertical="center"/>
    </xf>
    <xf numFmtId="10" fontId="2" fillId="8" borderId="48" xfId="0" applyNumberFormat="1" applyFont="1" applyFill="1" applyBorder="1" applyAlignment="1">
      <alignment horizontal="right" vertical="center"/>
    </xf>
    <xf numFmtId="10" fontId="22" fillId="8" borderId="0" xfId="0" applyNumberFormat="1" applyFont="1" applyFill="1" applyBorder="1" applyAlignment="1">
      <alignment horizontal="right" vertical="center"/>
    </xf>
    <xf numFmtId="10" fontId="3" fillId="8" borderId="61" xfId="0" applyNumberFormat="1" applyFont="1" applyFill="1" applyBorder="1" applyAlignment="1">
      <alignment horizontal="right"/>
    </xf>
    <xf numFmtId="4" fontId="5" fillId="27" borderId="45" xfId="0" applyNumberFormat="1" applyFont="1" applyFill="1" applyBorder="1" applyAlignment="1">
      <alignment/>
    </xf>
    <xf numFmtId="0" fontId="7" fillId="8" borderId="0" xfId="0" applyFont="1" applyFill="1" applyAlignment="1">
      <alignment horizontal="left"/>
    </xf>
    <xf numFmtId="0" fontId="5" fillId="27" borderId="0" xfId="0" applyFont="1" applyFill="1" applyBorder="1" applyAlignment="1">
      <alignment horizontal="left"/>
    </xf>
    <xf numFmtId="4" fontId="5" fillId="27" borderId="0" xfId="0" applyNumberFormat="1" applyFont="1" applyFill="1" applyBorder="1" applyAlignment="1">
      <alignment/>
    </xf>
    <xf numFmtId="0" fontId="2" fillId="8" borderId="0" xfId="0" applyFont="1" applyFill="1" applyBorder="1" applyAlignment="1">
      <alignment vertical="center"/>
    </xf>
    <xf numFmtId="0" fontId="2" fillId="8" borderId="36" xfId="0" applyFont="1" applyFill="1" applyBorder="1" applyAlignment="1">
      <alignment/>
    </xf>
    <xf numFmtId="4" fontId="10" fillId="8" borderId="63" xfId="0" applyNumberFormat="1" applyFont="1" applyFill="1" applyBorder="1" applyAlignment="1">
      <alignment/>
    </xf>
    <xf numFmtId="4" fontId="15" fillId="8" borderId="78" xfId="0" applyNumberFormat="1" applyFont="1" applyFill="1" applyBorder="1" applyAlignment="1">
      <alignment/>
    </xf>
    <xf numFmtId="0" fontId="15" fillId="14" borderId="63" xfId="0" applyFont="1" applyFill="1" applyBorder="1" applyAlignment="1">
      <alignment horizontal="center"/>
    </xf>
    <xf numFmtId="0" fontId="3" fillId="14" borderId="44" xfId="0" applyFont="1" applyFill="1" applyBorder="1" applyAlignment="1">
      <alignment horizontal="center"/>
    </xf>
    <xf numFmtId="0" fontId="10" fillId="8" borderId="63" xfId="0" applyFont="1" applyFill="1" applyBorder="1" applyAlignment="1">
      <alignment/>
    </xf>
    <xf numFmtId="4" fontId="5" fillId="8" borderId="57" xfId="0" applyNumberFormat="1" applyFont="1" applyFill="1" applyBorder="1" applyAlignment="1">
      <alignment/>
    </xf>
    <xf numFmtId="4" fontId="3" fillId="8" borderId="57" xfId="0" applyNumberFormat="1" applyFont="1" applyFill="1" applyBorder="1" applyAlignment="1">
      <alignment/>
    </xf>
    <xf numFmtId="4" fontId="2" fillId="8" borderId="47" xfId="0" applyNumberFormat="1" applyFont="1" applyFill="1" applyBorder="1" applyAlignment="1">
      <alignment/>
    </xf>
    <xf numFmtId="0" fontId="2" fillId="8" borderId="41" xfId="0" applyFont="1" applyFill="1" applyBorder="1" applyAlignment="1">
      <alignment horizontal="center"/>
    </xf>
    <xf numFmtId="0" fontId="2" fillId="8" borderId="42" xfId="0" applyFont="1" applyFill="1" applyBorder="1" applyAlignment="1">
      <alignment/>
    </xf>
    <xf numFmtId="0" fontId="14" fillId="8" borderId="36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0" fontId="5" fillId="8" borderId="43" xfId="0" applyFont="1" applyFill="1" applyBorder="1" applyAlignment="1">
      <alignment horizontal="center"/>
    </xf>
    <xf numFmtId="2" fontId="2" fillId="8" borderId="79" xfId="0" applyNumberFormat="1" applyFont="1" applyFill="1" applyBorder="1" applyAlignment="1">
      <alignment horizontal="center"/>
    </xf>
    <xf numFmtId="0" fontId="22" fillId="14" borderId="61" xfId="89" applyFont="1" applyFill="1" applyBorder="1" applyAlignment="1">
      <alignment horizontal="center" vertical="center" wrapText="1"/>
      <protection/>
    </xf>
    <xf numFmtId="0" fontId="22" fillId="14" borderId="37" xfId="89" applyFont="1" applyFill="1" applyBorder="1" applyAlignment="1">
      <alignment horizontal="center" vertical="center" wrapText="1"/>
      <protection/>
    </xf>
    <xf numFmtId="0" fontId="22" fillId="14" borderId="57" xfId="89" applyFont="1" applyFill="1" applyBorder="1" applyAlignment="1">
      <alignment horizontal="center" vertical="center" wrapText="1"/>
      <protection/>
    </xf>
    <xf numFmtId="0" fontId="22" fillId="14" borderId="55" xfId="89" applyFont="1" applyFill="1" applyBorder="1" applyAlignment="1">
      <alignment horizontal="center" vertical="center" wrapText="1"/>
      <protection/>
    </xf>
    <xf numFmtId="0" fontId="5" fillId="8" borderId="40" xfId="0" applyFont="1" applyFill="1" applyBorder="1" applyAlignment="1">
      <alignment horizontal="center"/>
    </xf>
    <xf numFmtId="0" fontId="3" fillId="14" borderId="55" xfId="0" applyFont="1" applyFill="1" applyBorder="1" applyAlignment="1" applyProtection="1">
      <alignment horizontal="center"/>
      <protection/>
    </xf>
    <xf numFmtId="0" fontId="15" fillId="8" borderId="40" xfId="0" applyFont="1" applyFill="1" applyBorder="1" applyAlignment="1">
      <alignment horizontal="center"/>
    </xf>
    <xf numFmtId="4" fontId="5" fillId="8" borderId="30" xfId="0" applyNumberFormat="1" applyFont="1" applyFill="1" applyBorder="1" applyAlignment="1">
      <alignment/>
    </xf>
    <xf numFmtId="4" fontId="2" fillId="8" borderId="51" xfId="0" applyNumberFormat="1" applyFont="1" applyFill="1" applyBorder="1" applyAlignment="1">
      <alignment/>
    </xf>
    <xf numFmtId="2" fontId="10" fillId="8" borderId="80" xfId="0" applyNumberFormat="1" applyFont="1" applyFill="1" applyBorder="1" applyAlignment="1">
      <alignment/>
    </xf>
    <xf numFmtId="4" fontId="5" fillId="8" borderId="35" xfId="0" applyNumberFormat="1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2" fillId="8" borderId="0" xfId="0" applyFont="1" applyFill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9" xfId="0" applyFont="1" applyFill="1" applyBorder="1" applyAlignment="1">
      <alignment/>
    </xf>
    <xf numFmtId="0" fontId="2" fillId="8" borderId="20" xfId="0" applyFont="1" applyFill="1" applyBorder="1" applyAlignment="1">
      <alignment/>
    </xf>
    <xf numFmtId="165" fontId="2" fillId="8" borderId="20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/>
    </xf>
    <xf numFmtId="165" fontId="2" fillId="8" borderId="0" xfId="0" applyNumberFormat="1" applyFont="1" applyFill="1" applyAlignment="1">
      <alignment horizontal="center"/>
    </xf>
    <xf numFmtId="0" fontId="8" fillId="14" borderId="56" xfId="0" applyFont="1" applyFill="1" applyBorder="1" applyAlignment="1">
      <alignment horizontal="center" vertical="center"/>
    </xf>
    <xf numFmtId="0" fontId="13" fillId="14" borderId="56" xfId="0" applyFont="1" applyFill="1" applyBorder="1" applyAlignment="1">
      <alignment horizontal="center" vertical="center"/>
    </xf>
    <xf numFmtId="4" fontId="8" fillId="14" borderId="55" xfId="0" applyNumberFormat="1" applyFont="1" applyFill="1" applyBorder="1" applyAlignment="1">
      <alignment horizontal="left" vertical="center"/>
    </xf>
    <xf numFmtId="0" fontId="2" fillId="14" borderId="62" xfId="0" applyFont="1" applyFill="1" applyBorder="1" applyAlignment="1">
      <alignment horizontal="left" vertical="center"/>
    </xf>
    <xf numFmtId="4" fontId="8" fillId="14" borderId="62" xfId="0" applyNumberFormat="1" applyFont="1" applyFill="1" applyBorder="1" applyAlignment="1">
      <alignment horizontal="right" vertical="center"/>
    </xf>
    <xf numFmtId="0" fontId="8" fillId="14" borderId="62" xfId="0" applyFont="1" applyFill="1" applyBorder="1" applyAlignment="1">
      <alignment horizontal="left" vertical="center"/>
    </xf>
    <xf numFmtId="0" fontId="8" fillId="14" borderId="31" xfId="0" applyFont="1" applyFill="1" applyBorder="1" applyAlignment="1">
      <alignment horizontal="center" vertical="center"/>
    </xf>
    <xf numFmtId="0" fontId="13" fillId="14" borderId="31" xfId="0" applyFont="1" applyFill="1" applyBorder="1" applyAlignment="1">
      <alignment horizontal="center" vertical="center"/>
    </xf>
    <xf numFmtId="0" fontId="9" fillId="14" borderId="37" xfId="0" applyFont="1" applyFill="1" applyBorder="1" applyAlignment="1">
      <alignment horizontal="left"/>
    </xf>
    <xf numFmtId="0" fontId="9" fillId="14" borderId="25" xfId="0" applyFont="1" applyFill="1" applyBorder="1" applyAlignment="1">
      <alignment horizontal="left"/>
    </xf>
    <xf numFmtId="0" fontId="9" fillId="14" borderId="57" xfId="0" applyFont="1" applyFill="1" applyBorder="1" applyAlignment="1">
      <alignment horizontal="left"/>
    </xf>
    <xf numFmtId="0" fontId="8" fillId="14" borderId="32" xfId="0" applyFont="1" applyFill="1" applyBorder="1" applyAlignment="1">
      <alignment horizontal="center" vertical="center"/>
    </xf>
    <xf numFmtId="0" fontId="10" fillId="8" borderId="55" xfId="0" applyFont="1" applyFill="1" applyBorder="1" applyAlignment="1">
      <alignment/>
    </xf>
    <xf numFmtId="0" fontId="10" fillId="8" borderId="62" xfId="0" applyFont="1" applyFill="1" applyBorder="1" applyAlignment="1">
      <alignment/>
    </xf>
    <xf numFmtId="0" fontId="5" fillId="8" borderId="36" xfId="0" applyFont="1" applyFill="1" applyBorder="1" applyAlignment="1">
      <alignment horizontal="left"/>
    </xf>
    <xf numFmtId="0" fontId="3" fillId="8" borderId="37" xfId="0" applyFont="1" applyFill="1" applyBorder="1" applyAlignment="1">
      <alignment horizontal="left"/>
    </xf>
    <xf numFmtId="0" fontId="5" fillId="8" borderId="40" xfId="0" applyFont="1" applyFill="1" applyBorder="1" applyAlignment="1">
      <alignment horizontal="left"/>
    </xf>
    <xf numFmtId="0" fontId="16" fillId="8" borderId="36" xfId="0" applyFont="1" applyFill="1" applyBorder="1" applyAlignment="1">
      <alignment/>
    </xf>
    <xf numFmtId="0" fontId="10" fillId="8" borderId="37" xfId="0" applyFont="1" applyFill="1" applyBorder="1" applyAlignment="1">
      <alignment/>
    </xf>
    <xf numFmtId="0" fontId="10" fillId="8" borderId="25" xfId="0" applyFont="1" applyFill="1" applyBorder="1" applyAlignment="1">
      <alignment/>
    </xf>
    <xf numFmtId="4" fontId="3" fillId="8" borderId="56" xfId="0" applyNumberFormat="1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5" fillId="8" borderId="43" xfId="0" applyFont="1" applyFill="1" applyBorder="1" applyAlignment="1">
      <alignment horizontal="left"/>
    </xf>
    <xf numFmtId="0" fontId="15" fillId="8" borderId="29" xfId="0" applyFont="1" applyFill="1" applyBorder="1" applyAlignment="1">
      <alignment horizontal="left"/>
    </xf>
    <xf numFmtId="0" fontId="2" fillId="8" borderId="0" xfId="0" applyFont="1" applyFill="1" applyBorder="1" applyAlignment="1">
      <alignment/>
    </xf>
    <xf numFmtId="0" fontId="2" fillId="8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2" fillId="8" borderId="48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2" fillId="8" borderId="81" xfId="0" applyFont="1" applyFill="1" applyBorder="1" applyAlignment="1" applyProtection="1">
      <alignment/>
      <protection locked="0"/>
    </xf>
    <xf numFmtId="165" fontId="9" fillId="8" borderId="23" xfId="0" applyNumberFormat="1" applyFont="1" applyFill="1" applyBorder="1" applyAlignment="1" applyProtection="1">
      <alignment horizontal="center"/>
      <protection locked="0"/>
    </xf>
    <xf numFmtId="165" fontId="9" fillId="8" borderId="24" xfId="0" applyNumberFormat="1" applyFont="1" applyFill="1" applyBorder="1" applyAlignment="1" applyProtection="1">
      <alignment horizontal="center"/>
      <protection locked="0"/>
    </xf>
    <xf numFmtId="165" fontId="9" fillId="8" borderId="22" xfId="0" applyNumberFormat="1" applyFont="1" applyFill="1" applyBorder="1" applyAlignment="1" applyProtection="1">
      <alignment horizontal="center"/>
      <protection locked="0"/>
    </xf>
    <xf numFmtId="0" fontId="10" fillId="8" borderId="23" xfId="0" applyFont="1" applyFill="1" applyBorder="1" applyAlignment="1" applyProtection="1">
      <alignment/>
      <protection locked="0"/>
    </xf>
    <xf numFmtId="10" fontId="10" fillId="8" borderId="23" xfId="0" applyNumberFormat="1" applyFont="1" applyFill="1" applyBorder="1" applyAlignment="1" applyProtection="1">
      <alignment horizontal="center"/>
      <protection locked="0"/>
    </xf>
    <xf numFmtId="3" fontId="10" fillId="8" borderId="23" xfId="0" applyNumberFormat="1" applyFont="1" applyFill="1" applyBorder="1" applyAlignment="1" applyProtection="1">
      <alignment/>
      <protection locked="0"/>
    </xf>
    <xf numFmtId="4" fontId="10" fillId="8" borderId="23" xfId="0" applyNumberFormat="1" applyFont="1" applyFill="1" applyBorder="1" applyAlignment="1" applyProtection="1">
      <alignment/>
      <protection locked="0"/>
    </xf>
    <xf numFmtId="0" fontId="10" fillId="8" borderId="24" xfId="0" applyFont="1" applyFill="1" applyBorder="1" applyAlignment="1" applyProtection="1">
      <alignment/>
      <protection locked="0"/>
    </xf>
    <xf numFmtId="10" fontId="10" fillId="8" borderId="24" xfId="0" applyNumberFormat="1" applyFont="1" applyFill="1" applyBorder="1" applyAlignment="1" applyProtection="1">
      <alignment horizontal="center"/>
      <protection locked="0"/>
    </xf>
    <xf numFmtId="3" fontId="10" fillId="8" borderId="24" xfId="0" applyNumberFormat="1" applyFont="1" applyFill="1" applyBorder="1" applyAlignment="1" applyProtection="1">
      <alignment/>
      <protection locked="0"/>
    </xf>
    <xf numFmtId="4" fontId="10" fillId="8" borderId="24" xfId="0" applyNumberFormat="1" applyFont="1" applyFill="1" applyBorder="1" applyAlignment="1" applyProtection="1">
      <alignment/>
      <protection locked="0"/>
    </xf>
    <xf numFmtId="4" fontId="2" fillId="8" borderId="33" xfId="0" applyNumberFormat="1" applyFont="1" applyFill="1" applyBorder="1" applyAlignment="1" applyProtection="1">
      <alignment/>
      <protection locked="0"/>
    </xf>
    <xf numFmtId="4" fontId="2" fillId="8" borderId="34" xfId="0" applyNumberFormat="1" applyFont="1" applyFill="1" applyBorder="1" applyAlignment="1" applyProtection="1">
      <alignment/>
      <protection locked="0"/>
    </xf>
    <xf numFmtId="4" fontId="3" fillId="8" borderId="32" xfId="0" applyNumberFormat="1" applyFont="1" applyFill="1" applyBorder="1" applyAlignment="1" applyProtection="1">
      <alignment/>
      <protection locked="0"/>
    </xf>
    <xf numFmtId="4" fontId="2" fillId="8" borderId="51" xfId="0" applyNumberFormat="1" applyFont="1" applyFill="1" applyBorder="1" applyAlignment="1" applyProtection="1">
      <alignment/>
      <protection locked="0"/>
    </xf>
    <xf numFmtId="4" fontId="2" fillId="8" borderId="66" xfId="0" applyNumberFormat="1" applyFont="1" applyFill="1" applyBorder="1" applyAlignment="1" applyProtection="1">
      <alignment/>
      <protection locked="0"/>
    </xf>
    <xf numFmtId="4" fontId="2" fillId="8" borderId="47" xfId="0" applyNumberFormat="1" applyFont="1" applyFill="1" applyBorder="1" applyAlignment="1" applyProtection="1">
      <alignment/>
      <protection locked="0"/>
    </xf>
    <xf numFmtId="4" fontId="3" fillId="8" borderId="57" xfId="0" applyNumberFormat="1" applyFont="1" applyFill="1" applyBorder="1" applyAlignment="1" applyProtection="1">
      <alignment/>
      <protection locked="0"/>
    </xf>
    <xf numFmtId="4" fontId="2" fillId="8" borderId="46" xfId="0" applyNumberFormat="1" applyFont="1" applyFill="1" applyBorder="1" applyAlignment="1" applyProtection="1">
      <alignment/>
      <protection locked="0"/>
    </xf>
    <xf numFmtId="4" fontId="2" fillId="8" borderId="48" xfId="0" applyNumberFormat="1" applyFont="1" applyFill="1" applyBorder="1" applyAlignment="1" applyProtection="1">
      <alignment/>
      <protection locked="0"/>
    </xf>
    <xf numFmtId="4" fontId="16" fillId="8" borderId="31" xfId="0" applyNumberFormat="1" applyFont="1" applyFill="1" applyBorder="1" applyAlignment="1" applyProtection="1">
      <alignment/>
      <protection locked="0"/>
    </xf>
    <xf numFmtId="4" fontId="5" fillId="8" borderId="30" xfId="0" applyNumberFormat="1" applyFont="1" applyFill="1" applyBorder="1" applyAlignment="1" applyProtection="1">
      <alignment/>
      <protection locked="0"/>
    </xf>
    <xf numFmtId="0" fontId="2" fillId="8" borderId="33" xfId="0" applyFont="1" applyFill="1" applyBorder="1" applyAlignment="1" applyProtection="1">
      <alignment horizontal="center" vertical="center"/>
      <protection locked="0"/>
    </xf>
    <xf numFmtId="3" fontId="2" fillId="8" borderId="33" xfId="0" applyNumberFormat="1" applyFont="1" applyFill="1" applyBorder="1" applyAlignment="1" applyProtection="1">
      <alignment horizontal="center" vertical="center"/>
      <protection locked="0"/>
    </xf>
    <xf numFmtId="4" fontId="2" fillId="8" borderId="33" xfId="0" applyNumberFormat="1" applyFont="1" applyFill="1" applyBorder="1" applyAlignment="1" applyProtection="1">
      <alignment vertical="center"/>
      <protection locked="0"/>
    </xf>
    <xf numFmtId="0" fontId="2" fillId="8" borderId="34" xfId="0" applyFont="1" applyFill="1" applyBorder="1" applyAlignment="1" applyProtection="1">
      <alignment horizontal="center" vertical="center"/>
      <protection locked="0"/>
    </xf>
    <xf numFmtId="0" fontId="2" fillId="8" borderId="34" xfId="0" applyFont="1" applyFill="1" applyBorder="1" applyAlignment="1" applyProtection="1">
      <alignment vertical="center"/>
      <protection locked="0"/>
    </xf>
    <xf numFmtId="3" fontId="2" fillId="8" borderId="34" xfId="0" applyNumberFormat="1" applyFont="1" applyFill="1" applyBorder="1" applyAlignment="1" applyProtection="1">
      <alignment horizontal="center" vertical="center"/>
      <protection locked="0"/>
    </xf>
    <xf numFmtId="4" fontId="2" fillId="8" borderId="34" xfId="0" applyNumberFormat="1" applyFont="1" applyFill="1" applyBorder="1" applyAlignment="1" applyProtection="1">
      <alignment vertical="center"/>
      <protection locked="0"/>
    </xf>
    <xf numFmtId="4" fontId="3" fillId="8" borderId="33" xfId="0" applyNumberFormat="1" applyFont="1" applyFill="1" applyBorder="1" applyAlignment="1" applyProtection="1">
      <alignment vertical="center"/>
      <protection locked="0"/>
    </xf>
    <xf numFmtId="4" fontId="2" fillId="8" borderId="82" xfId="0" applyNumberFormat="1" applyFont="1" applyFill="1" applyBorder="1" applyAlignment="1" applyProtection="1">
      <alignment vertical="center"/>
      <protection locked="0"/>
    </xf>
    <xf numFmtId="4" fontId="2" fillId="8" borderId="83" xfId="0" applyNumberFormat="1" applyFont="1" applyFill="1" applyBorder="1" applyAlignment="1" applyProtection="1">
      <alignment vertical="center"/>
      <protection locked="0"/>
    </xf>
    <xf numFmtId="4" fontId="2" fillId="8" borderId="84" xfId="0" applyNumberFormat="1" applyFont="1" applyFill="1" applyBorder="1" applyAlignment="1" applyProtection="1">
      <alignment vertical="center"/>
      <protection locked="0"/>
    </xf>
    <xf numFmtId="4" fontId="3" fillId="8" borderId="34" xfId="0" applyNumberFormat="1" applyFont="1" applyFill="1" applyBorder="1" applyAlignment="1" applyProtection="1">
      <alignment vertical="center"/>
      <protection locked="0"/>
    </xf>
    <xf numFmtId="4" fontId="2" fillId="8" borderId="85" xfId="0" applyNumberFormat="1" applyFont="1" applyFill="1" applyBorder="1" applyAlignment="1" applyProtection="1">
      <alignment vertical="center"/>
      <protection locked="0"/>
    </xf>
    <xf numFmtId="4" fontId="2" fillId="8" borderId="86" xfId="0" applyNumberFormat="1" applyFont="1" applyFill="1" applyBorder="1" applyAlignment="1" applyProtection="1">
      <alignment vertical="center"/>
      <protection locked="0"/>
    </xf>
    <xf numFmtId="4" fontId="2" fillId="8" borderId="87" xfId="0" applyNumberFormat="1" applyFont="1" applyFill="1" applyBorder="1" applyAlignment="1" applyProtection="1">
      <alignment vertical="center"/>
      <protection locked="0"/>
    </xf>
    <xf numFmtId="4" fontId="3" fillId="8" borderId="46" xfId="0" applyNumberFormat="1" applyFont="1" applyFill="1" applyBorder="1" applyAlignment="1" applyProtection="1">
      <alignment vertical="center"/>
      <protection locked="0"/>
    </xf>
    <xf numFmtId="4" fontId="2" fillId="8" borderId="88" xfId="0" applyNumberFormat="1" applyFont="1" applyFill="1" applyBorder="1" applyAlignment="1" applyProtection="1">
      <alignment vertical="center"/>
      <protection locked="0"/>
    </xf>
    <xf numFmtId="4" fontId="2" fillId="8" borderId="89" xfId="0" applyNumberFormat="1" applyFont="1" applyFill="1" applyBorder="1" applyAlignment="1" applyProtection="1">
      <alignment vertical="center"/>
      <protection locked="0"/>
    </xf>
    <xf numFmtId="4" fontId="2" fillId="8" borderId="90" xfId="0" applyNumberFormat="1" applyFont="1" applyFill="1" applyBorder="1" applyAlignment="1" applyProtection="1">
      <alignment vertical="center"/>
      <protection locked="0"/>
    </xf>
    <xf numFmtId="4" fontId="2" fillId="8" borderId="91" xfId="0" applyNumberFormat="1" applyFont="1" applyFill="1" applyBorder="1" applyAlignment="1" applyProtection="1">
      <alignment vertical="center"/>
      <protection locked="0"/>
    </xf>
    <xf numFmtId="4" fontId="2" fillId="8" borderId="92" xfId="0" applyNumberFormat="1" applyFont="1" applyFill="1" applyBorder="1" applyAlignment="1" applyProtection="1">
      <alignment vertical="center"/>
      <protection locked="0"/>
    </xf>
    <xf numFmtId="4" fontId="2" fillId="8" borderId="93" xfId="0" applyNumberFormat="1" applyFont="1" applyFill="1" applyBorder="1" applyAlignment="1" applyProtection="1">
      <alignment vertical="center"/>
      <protection locked="0"/>
    </xf>
    <xf numFmtId="4" fontId="2" fillId="8" borderId="94" xfId="0" applyNumberFormat="1" applyFont="1" applyFill="1" applyBorder="1" applyAlignment="1" applyProtection="1">
      <alignment vertical="center"/>
      <protection locked="0"/>
    </xf>
    <xf numFmtId="4" fontId="2" fillId="8" borderId="47" xfId="0" applyNumberFormat="1" applyFont="1" applyFill="1" applyBorder="1" applyAlignment="1" applyProtection="1">
      <alignment horizontal="left" vertical="center"/>
      <protection locked="0"/>
    </xf>
    <xf numFmtId="4" fontId="2" fillId="8" borderId="77" xfId="0" applyNumberFormat="1" applyFont="1" applyFill="1" applyBorder="1" applyAlignment="1" applyProtection="1">
      <alignment horizontal="left" vertical="center"/>
      <protection locked="0"/>
    </xf>
    <xf numFmtId="10" fontId="2" fillId="8" borderId="52" xfId="109" applyNumberFormat="1" applyFont="1" applyFill="1" applyBorder="1" applyAlignment="1" applyProtection="1">
      <alignment vertical="center"/>
      <protection locked="0"/>
    </xf>
    <xf numFmtId="4" fontId="2" fillId="8" borderId="52" xfId="0" applyNumberFormat="1" applyFont="1" applyFill="1" applyBorder="1" applyAlignment="1" applyProtection="1">
      <alignment vertical="center"/>
      <protection locked="0"/>
    </xf>
    <xf numFmtId="10" fontId="2" fillId="8" borderId="47" xfId="109" applyNumberFormat="1" applyFont="1" applyFill="1" applyBorder="1" applyAlignment="1" applyProtection="1">
      <alignment vertical="center"/>
      <protection locked="0"/>
    </xf>
    <xf numFmtId="4" fontId="2" fillId="8" borderId="47" xfId="0" applyNumberFormat="1" applyFont="1" applyFill="1" applyBorder="1" applyAlignment="1" applyProtection="1">
      <alignment vertical="center"/>
      <protection locked="0"/>
    </xf>
    <xf numFmtId="10" fontId="2" fillId="8" borderId="77" xfId="109" applyNumberFormat="1" applyFont="1" applyFill="1" applyBorder="1" applyAlignment="1" applyProtection="1">
      <alignment vertical="center"/>
      <protection locked="0"/>
    </xf>
    <xf numFmtId="4" fontId="2" fillId="8" borderId="77" xfId="0" applyNumberFormat="1" applyFont="1" applyFill="1" applyBorder="1" applyAlignment="1" applyProtection="1">
      <alignment vertical="center"/>
      <protection locked="0"/>
    </xf>
    <xf numFmtId="10" fontId="2" fillId="8" borderId="48" xfId="109" applyNumberFormat="1" applyFont="1" applyFill="1" applyBorder="1" applyAlignment="1" applyProtection="1">
      <alignment vertical="center"/>
      <protection locked="0"/>
    </xf>
    <xf numFmtId="4" fontId="2" fillId="8" borderId="48" xfId="0" applyNumberFormat="1" applyFont="1" applyFill="1" applyBorder="1" applyAlignment="1" applyProtection="1">
      <alignment vertical="center"/>
      <protection locked="0"/>
    </xf>
    <xf numFmtId="10" fontId="3" fillId="8" borderId="45" xfId="109" applyNumberFormat="1" applyFont="1" applyFill="1" applyBorder="1" applyAlignment="1">
      <alignment vertical="center"/>
    </xf>
    <xf numFmtId="4" fontId="3" fillId="8" borderId="58" xfId="0" applyNumberFormat="1" applyFont="1" applyFill="1" applyBorder="1" applyAlignment="1" applyProtection="1">
      <alignment vertical="center"/>
      <protection locked="0"/>
    </xf>
    <xf numFmtId="4" fontId="2" fillId="8" borderId="33" xfId="0" applyNumberFormat="1" applyFont="1" applyFill="1" applyBorder="1" applyAlignment="1" applyProtection="1">
      <alignment vertical="center"/>
      <protection locked="0"/>
    </xf>
    <xf numFmtId="4" fontId="2" fillId="8" borderId="66" xfId="0" applyNumberFormat="1" applyFont="1" applyFill="1" applyBorder="1" applyAlignment="1" applyProtection="1">
      <alignment horizontal="left" vertical="center"/>
      <protection locked="0"/>
    </xf>
    <xf numFmtId="4" fontId="2" fillId="8" borderId="51" xfId="0" applyNumberFormat="1" applyFont="1" applyFill="1" applyBorder="1" applyAlignment="1" applyProtection="1">
      <alignment vertical="center"/>
      <protection locked="0"/>
    </xf>
    <xf numFmtId="4" fontId="2" fillId="8" borderId="34" xfId="0" applyNumberFormat="1" applyFont="1" applyFill="1" applyBorder="1" applyAlignment="1" applyProtection="1">
      <alignment vertical="center"/>
      <protection locked="0"/>
    </xf>
    <xf numFmtId="4" fontId="2" fillId="8" borderId="95" xfId="0" applyNumberFormat="1" applyFont="1" applyFill="1" applyBorder="1" applyAlignment="1" applyProtection="1">
      <alignment vertical="center"/>
      <protection locked="0"/>
    </xf>
    <xf numFmtId="4" fontId="2" fillId="8" borderId="46" xfId="0" applyNumberFormat="1" applyFont="1" applyFill="1" applyBorder="1" applyAlignment="1" applyProtection="1">
      <alignment vertical="center"/>
      <protection locked="0"/>
    </xf>
    <xf numFmtId="0" fontId="2" fillId="8" borderId="28" xfId="0" applyFont="1" applyFill="1" applyBorder="1" applyAlignment="1" applyProtection="1">
      <alignment horizontal="left" vertical="center"/>
      <protection locked="0"/>
    </xf>
    <xf numFmtId="0" fontId="2" fillId="8" borderId="27" xfId="0" applyFont="1" applyFill="1" applyBorder="1" applyAlignment="1" applyProtection="1">
      <alignment horizontal="left" vertical="center"/>
      <protection locked="0"/>
    </xf>
    <xf numFmtId="0" fontId="2" fillId="8" borderId="42" xfId="0" applyFont="1" applyFill="1" applyBorder="1" applyAlignment="1" applyProtection="1">
      <alignment horizontal="left" vertical="center"/>
      <protection locked="0"/>
    </xf>
    <xf numFmtId="0" fontId="2" fillId="8" borderId="51" xfId="0" applyFont="1" applyFill="1" applyBorder="1" applyAlignment="1" applyProtection="1">
      <alignment horizontal="left" vertical="center"/>
      <protection locked="0"/>
    </xf>
    <xf numFmtId="0" fontId="2" fillId="8" borderId="34" xfId="0" applyFont="1" applyFill="1" applyBorder="1" applyAlignment="1" applyProtection="1">
      <alignment horizontal="left" vertical="center"/>
      <protection locked="0"/>
    </xf>
    <xf numFmtId="0" fontId="2" fillId="8" borderId="46" xfId="0" applyFont="1" applyFill="1" applyBorder="1" applyAlignment="1" applyProtection="1">
      <alignment horizontal="left" vertical="center"/>
      <protection locked="0"/>
    </xf>
    <xf numFmtId="4" fontId="3" fillId="8" borderId="30" xfId="0" applyNumberFormat="1" applyFont="1" applyFill="1" applyBorder="1" applyAlignment="1" applyProtection="1">
      <alignment vertical="center"/>
      <protection locked="0"/>
    </xf>
    <xf numFmtId="4" fontId="3" fillId="8" borderId="64" xfId="0" applyNumberFormat="1" applyFont="1" applyFill="1" applyBorder="1" applyAlignment="1" applyProtection="1">
      <alignment vertical="center"/>
      <protection locked="0"/>
    </xf>
    <xf numFmtId="4" fontId="3" fillId="8" borderId="65" xfId="0" applyNumberFormat="1" applyFont="1" applyFill="1" applyBorder="1" applyAlignment="1" applyProtection="1">
      <alignment vertical="center"/>
      <protection locked="0"/>
    </xf>
    <xf numFmtId="4" fontId="2" fillId="8" borderId="96" xfId="0" applyNumberFormat="1" applyFont="1" applyFill="1" applyBorder="1" applyAlignment="1" applyProtection="1">
      <alignment vertical="center"/>
      <protection locked="0"/>
    </xf>
    <xf numFmtId="4" fontId="2" fillId="8" borderId="97" xfId="0" applyNumberFormat="1" applyFont="1" applyFill="1" applyBorder="1" applyAlignment="1" applyProtection="1">
      <alignment vertical="center"/>
      <protection locked="0"/>
    </xf>
    <xf numFmtId="4" fontId="2" fillId="8" borderId="98" xfId="0" applyNumberFormat="1" applyFont="1" applyFill="1" applyBorder="1" applyAlignment="1" applyProtection="1">
      <alignment vertical="center"/>
      <protection locked="0"/>
    </xf>
    <xf numFmtId="0" fontId="9" fillId="8" borderId="54" xfId="0" applyFont="1" applyFill="1" applyBorder="1" applyAlignment="1" applyProtection="1">
      <alignment horizontal="center" vertical="center"/>
      <protection locked="0"/>
    </xf>
    <xf numFmtId="4" fontId="2" fillId="8" borderId="28" xfId="0" applyNumberFormat="1" applyFont="1" applyFill="1" applyBorder="1" applyAlignment="1" applyProtection="1">
      <alignment horizontal="left" vertical="center"/>
      <protection locked="0"/>
    </xf>
    <xf numFmtId="4" fontId="2" fillId="8" borderId="42" xfId="0" applyNumberFormat="1" applyFont="1" applyFill="1" applyBorder="1" applyAlignment="1" applyProtection="1">
      <alignment horizontal="left" vertical="center"/>
      <protection locked="0"/>
    </xf>
    <xf numFmtId="4" fontId="2" fillId="8" borderId="46" xfId="0" applyNumberFormat="1" applyFont="1" applyFill="1" applyBorder="1" applyAlignment="1" applyProtection="1">
      <alignment horizontal="left" vertical="center"/>
      <protection locked="0"/>
    </xf>
    <xf numFmtId="4" fontId="9" fillId="8" borderId="51" xfId="0" applyNumberFormat="1" applyFont="1" applyFill="1" applyBorder="1" applyAlignment="1" applyProtection="1">
      <alignment vertical="center"/>
      <protection locked="0"/>
    </xf>
    <xf numFmtId="4" fontId="9" fillId="8" borderId="31" xfId="0" applyNumberFormat="1" applyFont="1" applyFill="1" applyBorder="1" applyAlignment="1" applyProtection="1">
      <alignment vertical="center"/>
      <protection locked="0"/>
    </xf>
    <xf numFmtId="4" fontId="2" fillId="8" borderId="50" xfId="0" applyNumberFormat="1" applyFont="1" applyFill="1" applyBorder="1" applyAlignment="1" applyProtection="1">
      <alignment horizontal="left" vertical="center"/>
      <protection locked="0"/>
    </xf>
    <xf numFmtId="4" fontId="2" fillId="8" borderId="52" xfId="0" applyNumberFormat="1" applyFont="1" applyFill="1" applyBorder="1" applyAlignment="1" applyProtection="1">
      <alignment horizontal="left" vertical="center"/>
      <protection locked="0"/>
    </xf>
    <xf numFmtId="4" fontId="2" fillId="8" borderId="41" xfId="0" applyNumberFormat="1" applyFont="1" applyFill="1" applyBorder="1" applyAlignment="1" applyProtection="1">
      <alignment horizontal="left" vertical="center"/>
      <protection locked="0"/>
    </xf>
    <xf numFmtId="4" fontId="2" fillId="8" borderId="48" xfId="0" applyNumberFormat="1" applyFont="1" applyFill="1" applyBorder="1" applyAlignment="1" applyProtection="1">
      <alignment horizontal="left" vertical="center"/>
      <protection locked="0"/>
    </xf>
    <xf numFmtId="4" fontId="2" fillId="8" borderId="39" xfId="0" applyNumberFormat="1" applyFont="1" applyFill="1" applyBorder="1" applyAlignment="1" applyProtection="1">
      <alignment horizontal="left" vertical="center"/>
      <protection locked="0"/>
    </xf>
    <xf numFmtId="3" fontId="5" fillId="8" borderId="54" xfId="0" applyNumberFormat="1" applyFont="1" applyFill="1" applyBorder="1" applyAlignment="1" applyProtection="1">
      <alignment horizontal="center" vertical="center"/>
      <protection locked="0"/>
    </xf>
    <xf numFmtId="0" fontId="3" fillId="8" borderId="99" xfId="0" applyFont="1" applyFill="1" applyBorder="1" applyAlignment="1">
      <alignment/>
    </xf>
    <xf numFmtId="0" fontId="3" fillId="8" borderId="22" xfId="0" applyFont="1" applyFill="1" applyBorder="1" applyAlignment="1">
      <alignment/>
    </xf>
    <xf numFmtId="0" fontId="3" fillId="8" borderId="81" xfId="0" applyFont="1" applyFill="1" applyBorder="1" applyAlignment="1">
      <alignment/>
    </xf>
    <xf numFmtId="0" fontId="3" fillId="8" borderId="81" xfId="0" applyFont="1" applyFill="1" applyBorder="1" applyAlignment="1" applyProtection="1">
      <alignment/>
      <protection locked="0"/>
    </xf>
    <xf numFmtId="0" fontId="9" fillId="8" borderId="24" xfId="0" applyFont="1" applyFill="1" applyBorder="1" applyAlignment="1" applyProtection="1">
      <alignment/>
      <protection locked="0"/>
    </xf>
    <xf numFmtId="0" fontId="9" fillId="8" borderId="22" xfId="0" applyFont="1" applyFill="1" applyBorder="1" applyAlignment="1" applyProtection="1">
      <alignment/>
      <protection locked="0"/>
    </xf>
    <xf numFmtId="10" fontId="10" fillId="8" borderId="23" xfId="0" applyNumberFormat="1" applyFont="1" applyFill="1" applyBorder="1" applyAlignment="1" applyProtection="1">
      <alignment/>
      <protection locked="0"/>
    </xf>
    <xf numFmtId="10" fontId="10" fillId="8" borderId="24" xfId="0" applyNumberFormat="1" applyFont="1" applyFill="1" applyBorder="1" applyAlignment="1" applyProtection="1">
      <alignment/>
      <protection locked="0"/>
    </xf>
    <xf numFmtId="4" fontId="2" fillId="8" borderId="33" xfId="0" applyNumberFormat="1" applyFont="1" applyFill="1" applyBorder="1" applyAlignment="1" applyProtection="1">
      <alignment horizontal="left" vertical="center"/>
      <protection locked="0"/>
    </xf>
    <xf numFmtId="0" fontId="2" fillId="8" borderId="33" xfId="0" applyFont="1" applyFill="1" applyBorder="1" applyAlignment="1" applyProtection="1">
      <alignment horizontal="left" vertical="center"/>
      <protection locked="0"/>
    </xf>
    <xf numFmtId="4" fontId="2" fillId="8" borderId="34" xfId="0" applyNumberFormat="1" applyFont="1" applyFill="1" applyBorder="1" applyAlignment="1" applyProtection="1">
      <alignment horizontal="left" vertical="center"/>
      <protection locked="0"/>
    </xf>
    <xf numFmtId="4" fontId="3" fillId="8" borderId="32" xfId="0" applyNumberFormat="1" applyFont="1" applyFill="1" applyBorder="1" applyAlignment="1" applyProtection="1">
      <alignment/>
      <protection/>
    </xf>
    <xf numFmtId="0" fontId="2" fillId="8" borderId="27" xfId="0" applyFont="1" applyFill="1" applyBorder="1" applyAlignment="1">
      <alignment/>
    </xf>
    <xf numFmtId="4" fontId="2" fillId="8" borderId="30" xfId="0" applyNumberFormat="1" applyFont="1" applyFill="1" applyBorder="1" applyAlignment="1" applyProtection="1">
      <alignment horizontal="right" vertical="center"/>
      <protection locked="0"/>
    </xf>
    <xf numFmtId="4" fontId="2" fillId="8" borderId="71" xfId="0" applyNumberFormat="1" applyFont="1" applyFill="1" applyBorder="1" applyAlignment="1" applyProtection="1">
      <alignment horizontal="right" vertical="center"/>
      <protection locked="0"/>
    </xf>
    <xf numFmtId="4" fontId="2" fillId="8" borderId="65" xfId="0" applyNumberFormat="1" applyFont="1" applyFill="1" applyBorder="1" applyAlignment="1" applyProtection="1">
      <alignment horizontal="right" vertical="center"/>
      <protection locked="0"/>
    </xf>
    <xf numFmtId="4" fontId="2" fillId="8" borderId="70" xfId="0" applyNumberFormat="1" applyFont="1" applyFill="1" applyBorder="1" applyAlignment="1" applyProtection="1">
      <alignment horizontal="right" vertical="center"/>
      <protection locked="0"/>
    </xf>
    <xf numFmtId="0" fontId="2" fillId="8" borderId="38" xfId="0" applyFont="1" applyFill="1" applyBorder="1" applyAlignment="1" applyProtection="1">
      <alignment vertical="center"/>
      <protection locked="0"/>
    </xf>
    <xf numFmtId="0" fontId="2" fillId="8" borderId="66" xfId="0" applyFont="1" applyFill="1" applyBorder="1" applyAlignment="1" applyProtection="1">
      <alignment vertical="center"/>
      <protection locked="0"/>
    </xf>
    <xf numFmtId="0" fontId="2" fillId="8" borderId="39" xfId="0" applyFont="1" applyFill="1" applyBorder="1" applyAlignment="1" applyProtection="1">
      <alignment vertical="center"/>
      <protection locked="0"/>
    </xf>
    <xf numFmtId="0" fontId="2" fillId="8" borderId="47" xfId="0" applyFont="1" applyFill="1" applyBorder="1" applyAlignment="1" applyProtection="1">
      <alignment vertical="center"/>
      <protection locked="0"/>
    </xf>
    <xf numFmtId="0" fontId="2" fillId="8" borderId="41" xfId="0" applyFont="1" applyFill="1" applyBorder="1" applyAlignment="1" applyProtection="1">
      <alignment vertical="center"/>
      <protection locked="0"/>
    </xf>
    <xf numFmtId="0" fontId="2" fillId="8" borderId="48" xfId="0" applyFont="1" applyFill="1" applyBorder="1" applyAlignment="1" applyProtection="1">
      <alignment vertical="center"/>
      <protection locked="0"/>
    </xf>
    <xf numFmtId="4" fontId="3" fillId="8" borderId="70" xfId="0" applyNumberFormat="1" applyFont="1" applyFill="1" applyBorder="1" applyAlignment="1" applyProtection="1">
      <alignment vertical="center"/>
      <protection locked="0"/>
    </xf>
    <xf numFmtId="4" fontId="2" fillId="8" borderId="100" xfId="0" applyNumberFormat="1" applyFont="1" applyFill="1" applyBorder="1" applyAlignment="1" applyProtection="1">
      <alignment horizontal="right" vertical="center"/>
      <protection locked="0"/>
    </xf>
    <xf numFmtId="4" fontId="2" fillId="8" borderId="87" xfId="0" applyNumberFormat="1" applyFont="1" applyFill="1" applyBorder="1" applyAlignment="1" applyProtection="1">
      <alignment horizontal="right" vertical="center"/>
      <protection locked="0"/>
    </xf>
    <xf numFmtId="4" fontId="2" fillId="8" borderId="90" xfId="0" applyNumberFormat="1" applyFont="1" applyFill="1" applyBorder="1" applyAlignment="1" applyProtection="1">
      <alignment horizontal="right" vertical="center"/>
      <protection locked="0"/>
    </xf>
    <xf numFmtId="4" fontId="2" fillId="8" borderId="96" xfId="0" applyNumberFormat="1" applyFont="1" applyFill="1" applyBorder="1" applyAlignment="1" applyProtection="1">
      <alignment vertical="center"/>
      <protection locked="0"/>
    </xf>
    <xf numFmtId="4" fontId="2" fillId="8" borderId="92" xfId="0" applyNumberFormat="1" applyFont="1" applyFill="1" applyBorder="1" applyAlignment="1" applyProtection="1">
      <alignment vertical="center"/>
      <protection locked="0"/>
    </xf>
    <xf numFmtId="4" fontId="2" fillId="8" borderId="98" xfId="0" applyNumberFormat="1" applyFont="1" applyFill="1" applyBorder="1" applyAlignment="1" applyProtection="1">
      <alignment horizontal="right" vertical="center"/>
      <protection locked="0"/>
    </xf>
    <xf numFmtId="4" fontId="2" fillId="8" borderId="89" xfId="0" applyNumberFormat="1" applyFont="1" applyFill="1" applyBorder="1" applyAlignment="1" applyProtection="1">
      <alignment horizontal="right" vertical="center"/>
      <protection locked="0"/>
    </xf>
    <xf numFmtId="4" fontId="2" fillId="8" borderId="90" xfId="0" applyNumberFormat="1" applyFont="1" applyFill="1" applyBorder="1" applyAlignment="1" applyProtection="1">
      <alignment horizontal="right" vertical="center"/>
      <protection locked="0"/>
    </xf>
    <xf numFmtId="4" fontId="2" fillId="8" borderId="96" xfId="0" applyNumberFormat="1" applyFont="1" applyFill="1" applyBorder="1" applyAlignment="1" applyProtection="1">
      <alignment horizontal="right" vertical="center"/>
      <protection locked="0"/>
    </xf>
    <xf numFmtId="4" fontId="2" fillId="8" borderId="92" xfId="0" applyNumberFormat="1" applyFont="1" applyFill="1" applyBorder="1" applyAlignment="1" applyProtection="1">
      <alignment horizontal="right" vertical="center"/>
      <protection locked="0"/>
    </xf>
    <xf numFmtId="4" fontId="2" fillId="8" borderId="100" xfId="0" applyNumberFormat="1" applyFont="1" applyFill="1" applyBorder="1" applyAlignment="1" applyProtection="1">
      <alignment horizontal="right" vertical="center"/>
      <protection locked="0"/>
    </xf>
    <xf numFmtId="0" fontId="2" fillId="8" borderId="51" xfId="0" applyFont="1" applyFill="1" applyBorder="1" applyAlignment="1" applyProtection="1">
      <alignment horizontal="center" vertical="center"/>
      <protection locked="0"/>
    </xf>
    <xf numFmtId="0" fontId="2" fillId="8" borderId="34" xfId="0" applyFont="1" applyFill="1" applyBorder="1" applyAlignment="1" applyProtection="1">
      <alignment horizontal="center" vertical="center"/>
      <protection locked="0"/>
    </xf>
    <xf numFmtId="0" fontId="2" fillId="8" borderId="46" xfId="0" applyFont="1" applyFill="1" applyBorder="1" applyAlignment="1" applyProtection="1">
      <alignment horizontal="center" vertical="center"/>
      <protection locked="0"/>
    </xf>
    <xf numFmtId="4" fontId="2" fillId="8" borderId="51" xfId="0" applyNumberFormat="1" applyFont="1" applyFill="1" applyBorder="1" applyAlignment="1" applyProtection="1">
      <alignment horizontal="right" vertical="center"/>
      <protection locked="0"/>
    </xf>
    <xf numFmtId="4" fontId="2" fillId="8" borderId="28" xfId="0" applyNumberFormat="1" applyFont="1" applyFill="1" applyBorder="1" applyAlignment="1" applyProtection="1">
      <alignment horizontal="right" vertical="center"/>
      <protection locked="0"/>
    </xf>
    <xf numFmtId="4" fontId="2" fillId="8" borderId="34" xfId="0" applyNumberFormat="1" applyFont="1" applyFill="1" applyBorder="1" applyAlignment="1" applyProtection="1">
      <alignment horizontal="right" vertical="center"/>
      <protection locked="0"/>
    </xf>
    <xf numFmtId="4" fontId="2" fillId="8" borderId="46" xfId="0" applyNumberFormat="1" applyFont="1" applyFill="1" applyBorder="1" applyAlignment="1" applyProtection="1">
      <alignment horizontal="right" vertical="center"/>
      <protection locked="0"/>
    </xf>
    <xf numFmtId="4" fontId="2" fillId="8" borderId="42" xfId="0" applyNumberFormat="1" applyFont="1" applyFill="1" applyBorder="1" applyAlignment="1" applyProtection="1">
      <alignment horizontal="right" vertical="center"/>
      <protection locked="0"/>
    </xf>
    <xf numFmtId="4" fontId="2" fillId="8" borderId="51" xfId="0" applyNumberFormat="1" applyFont="1" applyFill="1" applyBorder="1" applyAlignment="1" applyProtection="1">
      <alignment horizontal="right" vertical="center"/>
      <protection locked="0"/>
    </xf>
    <xf numFmtId="4" fontId="2" fillId="8" borderId="34" xfId="0" applyNumberFormat="1" applyFont="1" applyFill="1" applyBorder="1" applyAlignment="1" applyProtection="1">
      <alignment horizontal="right" vertical="center"/>
      <protection locked="0"/>
    </xf>
    <xf numFmtId="4" fontId="2" fillId="8" borderId="46" xfId="0" applyNumberFormat="1" applyFont="1" applyFill="1" applyBorder="1" applyAlignment="1" applyProtection="1">
      <alignment horizontal="right" vertical="center"/>
      <protection locked="0"/>
    </xf>
    <xf numFmtId="0" fontId="31" fillId="8" borderId="0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center" vertical="center"/>
    </xf>
    <xf numFmtId="4" fontId="3" fillId="8" borderId="100" xfId="0" applyNumberFormat="1" applyFont="1" applyFill="1" applyBorder="1" applyAlignment="1">
      <alignment horizontal="right" vertical="center"/>
    </xf>
    <xf numFmtId="4" fontId="2" fillId="8" borderId="54" xfId="0" applyNumberFormat="1" applyFont="1" applyFill="1" applyBorder="1" applyAlignment="1" applyProtection="1">
      <alignment vertical="center"/>
      <protection locked="0"/>
    </xf>
    <xf numFmtId="0" fontId="2" fillId="8" borderId="38" xfId="0" applyFont="1" applyFill="1" applyBorder="1" applyAlignment="1" applyProtection="1">
      <alignment/>
      <protection locked="0"/>
    </xf>
    <xf numFmtId="0" fontId="2" fillId="8" borderId="26" xfId="0" applyFont="1" applyFill="1" applyBorder="1" applyAlignment="1" applyProtection="1">
      <alignment/>
      <protection locked="0"/>
    </xf>
    <xf numFmtId="0" fontId="2" fillId="8" borderId="66" xfId="0" applyFont="1" applyFill="1" applyBorder="1" applyAlignment="1" applyProtection="1">
      <alignment/>
      <protection locked="0"/>
    </xf>
    <xf numFmtId="0" fontId="2" fillId="8" borderId="39" xfId="0" applyFont="1" applyFill="1" applyBorder="1" applyAlignment="1" applyProtection="1">
      <alignment/>
      <protection locked="0"/>
    </xf>
    <xf numFmtId="0" fontId="2" fillId="8" borderId="27" xfId="0" applyFont="1" applyFill="1" applyBorder="1" applyAlignment="1" applyProtection="1">
      <alignment/>
      <protection locked="0"/>
    </xf>
    <xf numFmtId="0" fontId="2" fillId="8" borderId="47" xfId="0" applyFont="1" applyFill="1" applyBorder="1" applyAlignment="1" applyProtection="1">
      <alignment/>
      <protection locked="0"/>
    </xf>
    <xf numFmtId="0" fontId="2" fillId="8" borderId="41" xfId="0" applyFont="1" applyFill="1" applyBorder="1" applyAlignment="1" applyProtection="1">
      <alignment/>
      <protection locked="0"/>
    </xf>
    <xf numFmtId="0" fontId="2" fillId="8" borderId="42" xfId="0" applyFont="1" applyFill="1" applyBorder="1" applyAlignment="1" applyProtection="1">
      <alignment/>
      <protection locked="0"/>
    </xf>
    <xf numFmtId="0" fontId="2" fillId="8" borderId="48" xfId="0" applyFont="1" applyFill="1" applyBorder="1" applyAlignment="1" applyProtection="1">
      <alignment/>
      <protection locked="0"/>
    </xf>
    <xf numFmtId="166" fontId="2" fillId="8" borderId="100" xfId="0" applyNumberFormat="1" applyFont="1" applyFill="1" applyBorder="1" applyAlignment="1" applyProtection="1">
      <alignment horizontal="right" vertical="center"/>
      <protection locked="0"/>
    </xf>
    <xf numFmtId="166" fontId="2" fillId="8" borderId="100" xfId="0" applyNumberFormat="1" applyFont="1" applyFill="1" applyBorder="1" applyAlignment="1" applyProtection="1">
      <alignment horizontal="right" vertical="center"/>
      <protection locked="0"/>
    </xf>
    <xf numFmtId="166" fontId="2" fillId="8" borderId="87" xfId="0" applyNumberFormat="1" applyFont="1" applyFill="1" applyBorder="1" applyAlignment="1" applyProtection="1">
      <alignment horizontal="right" vertical="center"/>
      <protection locked="0"/>
    </xf>
    <xf numFmtId="166" fontId="2" fillId="8" borderId="90" xfId="0" applyNumberFormat="1" applyFont="1" applyFill="1" applyBorder="1" applyAlignment="1" applyProtection="1">
      <alignment horizontal="right" vertical="center"/>
      <protection locked="0"/>
    </xf>
    <xf numFmtId="0" fontId="2" fillId="8" borderId="50" xfId="0" applyFont="1" applyFill="1" applyBorder="1" applyAlignment="1">
      <alignment horizontal="left" vertical="center"/>
    </xf>
    <xf numFmtId="4" fontId="2" fillId="8" borderId="51" xfId="0" applyNumberFormat="1" applyFont="1" applyFill="1" applyBorder="1" applyAlignment="1" applyProtection="1">
      <alignment vertical="center"/>
      <protection/>
    </xf>
    <xf numFmtId="4" fontId="2" fillId="8" borderId="46" xfId="0" applyNumberFormat="1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17" xfId="0" applyFont="1" applyFill="1" applyBorder="1" applyAlignment="1" applyProtection="1">
      <alignment horizontal="left"/>
      <protection locked="0"/>
    </xf>
    <xf numFmtId="0" fontId="32" fillId="0" borderId="16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32" fillId="0" borderId="17" xfId="0" applyFont="1" applyFill="1" applyBorder="1" applyAlignment="1" applyProtection="1">
      <alignment horizontal="left" vertical="center"/>
      <protection locked="0"/>
    </xf>
    <xf numFmtId="0" fontId="10" fillId="8" borderId="0" xfId="0" applyFont="1" applyFill="1" applyAlignment="1" applyProtection="1">
      <alignment horizontal="left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4" fontId="10" fillId="8" borderId="0" xfId="0" applyNumberFormat="1" applyFont="1" applyFill="1" applyAlignment="1" applyProtection="1">
      <alignment horizontal="left"/>
      <protection/>
    </xf>
    <xf numFmtId="0" fontId="10" fillId="8" borderId="13" xfId="0" applyFont="1" applyFill="1" applyBorder="1" applyAlignment="1" applyProtection="1">
      <alignment horizontal="left"/>
      <protection/>
    </xf>
    <xf numFmtId="0" fontId="10" fillId="8" borderId="14" xfId="0" applyFont="1" applyFill="1" applyBorder="1" applyAlignment="1" applyProtection="1">
      <alignment horizontal="left"/>
      <protection/>
    </xf>
    <xf numFmtId="4" fontId="10" fillId="8" borderId="14" xfId="0" applyNumberFormat="1" applyFont="1" applyFill="1" applyBorder="1" applyAlignment="1" applyProtection="1">
      <alignment horizontal="left"/>
      <protection/>
    </xf>
    <xf numFmtId="0" fontId="10" fillId="8" borderId="15" xfId="0" applyFont="1" applyFill="1" applyBorder="1" applyAlignment="1" applyProtection="1">
      <alignment horizontal="left"/>
      <protection/>
    </xf>
    <xf numFmtId="0" fontId="10" fillId="8" borderId="16" xfId="0" applyFont="1" applyFill="1" applyBorder="1" applyAlignment="1" applyProtection="1">
      <alignment horizontal="left"/>
      <protection/>
    </xf>
    <xf numFmtId="0" fontId="3" fillId="8" borderId="0" xfId="0" applyFont="1" applyFill="1" applyBorder="1" applyAlignment="1" applyProtection="1">
      <alignment horizontal="left"/>
      <protection/>
    </xf>
    <xf numFmtId="0" fontId="10" fillId="8" borderId="0" xfId="0" applyFont="1" applyFill="1" applyBorder="1" applyAlignment="1" applyProtection="1">
      <alignment horizontal="left"/>
      <protection/>
    </xf>
    <xf numFmtId="4" fontId="10" fillId="8" borderId="0" xfId="0" applyNumberFormat="1" applyFont="1" applyFill="1" applyBorder="1" applyAlignment="1" applyProtection="1">
      <alignment horizontal="left"/>
      <protection/>
    </xf>
    <xf numFmtId="0" fontId="10" fillId="8" borderId="17" xfId="0" applyFont="1" applyFill="1" applyBorder="1" applyAlignment="1" applyProtection="1">
      <alignment horizontal="left"/>
      <protection/>
    </xf>
    <xf numFmtId="0" fontId="2" fillId="8" borderId="17" xfId="0" applyFont="1" applyFill="1" applyBorder="1" applyAlignment="1" applyProtection="1">
      <alignment horizontal="left"/>
      <protection/>
    </xf>
    <xf numFmtId="0" fontId="13" fillId="8" borderId="0" xfId="0" applyFont="1" applyFill="1" applyBorder="1" applyAlignment="1" applyProtection="1">
      <alignment horizontal="left"/>
      <protection/>
    </xf>
    <xf numFmtId="0" fontId="2" fillId="8" borderId="16" xfId="0" applyFont="1" applyFill="1" applyBorder="1" applyAlignment="1" applyProtection="1">
      <alignment horizontal="left"/>
      <protection/>
    </xf>
    <xf numFmtId="0" fontId="3" fillId="26" borderId="0" xfId="0" applyFont="1" applyFill="1" applyBorder="1" applyAlignment="1" applyProtection="1">
      <alignment horizontal="left" vertical="center"/>
      <protection/>
    </xf>
    <xf numFmtId="0" fontId="2" fillId="8" borderId="0" xfId="0" applyFont="1" applyFill="1" applyAlignment="1" applyProtection="1">
      <alignment horizontal="left"/>
      <protection/>
    </xf>
    <xf numFmtId="0" fontId="7" fillId="8" borderId="16" xfId="0" applyFont="1" applyFill="1" applyBorder="1" applyAlignment="1" applyProtection="1">
      <alignment horizontal="left"/>
      <protection/>
    </xf>
    <xf numFmtId="0" fontId="5" fillId="10" borderId="0" xfId="0" applyFont="1" applyFill="1" applyBorder="1" applyAlignment="1" applyProtection="1">
      <alignment horizontal="left" vertical="center"/>
      <protection/>
    </xf>
    <xf numFmtId="4" fontId="5" fillId="10" borderId="0" xfId="0" applyNumberFormat="1" applyFont="1" applyFill="1" applyBorder="1" applyAlignment="1" applyProtection="1">
      <alignment horizontal="left" vertical="center"/>
      <protection/>
    </xf>
    <xf numFmtId="0" fontId="5" fillId="8" borderId="0" xfId="0" applyFont="1" applyFill="1" applyAlignment="1" applyProtection="1">
      <alignment horizontal="left" vertical="center"/>
      <protection/>
    </xf>
    <xf numFmtId="4" fontId="5" fillId="8" borderId="0" xfId="0" applyNumberFormat="1" applyFont="1" applyFill="1" applyBorder="1" applyAlignment="1" applyProtection="1">
      <alignment horizontal="left" vertical="center"/>
      <protection/>
    </xf>
    <xf numFmtId="0" fontId="3" fillId="8" borderId="0" xfId="0" applyFont="1" applyFill="1" applyBorder="1" applyAlignment="1" applyProtection="1">
      <alignment vertical="center"/>
      <protection/>
    </xf>
    <xf numFmtId="0" fontId="9" fillId="8" borderId="16" xfId="0" applyFont="1" applyFill="1" applyBorder="1" applyAlignment="1" applyProtection="1">
      <alignment horizontal="left"/>
      <protection/>
    </xf>
    <xf numFmtId="0" fontId="9" fillId="14" borderId="55" xfId="0" applyFont="1" applyFill="1" applyBorder="1" applyAlignment="1" applyProtection="1">
      <alignment vertical="center"/>
      <protection/>
    </xf>
    <xf numFmtId="0" fontId="9" fillId="14" borderId="44" xfId="0" applyFont="1" applyFill="1" applyBorder="1" applyAlignment="1" applyProtection="1">
      <alignment vertical="center"/>
      <protection/>
    </xf>
    <xf numFmtId="4" fontId="8" fillId="14" borderId="53" xfId="0" applyNumberFormat="1" applyFont="1" applyFill="1" applyBorder="1" applyAlignment="1" applyProtection="1">
      <alignment horizontal="right" vertical="center"/>
      <protection/>
    </xf>
    <xf numFmtId="1" fontId="8" fillId="14" borderId="49" xfId="0" applyNumberFormat="1" applyFont="1" applyFill="1" applyBorder="1" applyAlignment="1" applyProtection="1">
      <alignment horizontal="center" vertical="center"/>
      <protection/>
    </xf>
    <xf numFmtId="1" fontId="5" fillId="14" borderId="61" xfId="0" applyNumberFormat="1" applyFont="1" applyFill="1" applyBorder="1" applyAlignment="1" applyProtection="1">
      <alignment horizontal="left" vertical="center"/>
      <protection/>
    </xf>
    <xf numFmtId="1" fontId="8" fillId="14" borderId="49" xfId="0" applyNumberFormat="1" applyFont="1" applyFill="1" applyBorder="1" applyAlignment="1" applyProtection="1">
      <alignment horizontal="left" vertical="center"/>
      <protection/>
    </xf>
    <xf numFmtId="0" fontId="9" fillId="8" borderId="0" xfId="0" applyFont="1" applyFill="1" applyAlignment="1" applyProtection="1">
      <alignment horizontal="left" vertical="center"/>
      <protection/>
    </xf>
    <xf numFmtId="0" fontId="13" fillId="8" borderId="16" xfId="0" applyFont="1" applyFill="1" applyBorder="1" applyAlignment="1" applyProtection="1">
      <alignment horizontal="center"/>
      <protection/>
    </xf>
    <xf numFmtId="0" fontId="5" fillId="14" borderId="37" xfId="0" applyFont="1" applyFill="1" applyBorder="1" applyAlignment="1" applyProtection="1">
      <alignment vertical="center"/>
      <protection/>
    </xf>
    <xf numFmtId="0" fontId="13" fillId="14" borderId="57" xfId="0" applyFont="1" applyFill="1" applyBorder="1" applyAlignment="1" applyProtection="1">
      <alignment horizontal="center" vertical="center"/>
      <protection/>
    </xf>
    <xf numFmtId="4" fontId="13" fillId="14" borderId="54" xfId="0" applyNumberFormat="1" applyFont="1" applyFill="1" applyBorder="1" applyAlignment="1" applyProtection="1">
      <alignment horizontal="center" vertical="center"/>
      <protection/>
    </xf>
    <xf numFmtId="0" fontId="13" fillId="8" borderId="0" xfId="0" applyFont="1" applyFill="1" applyAlignment="1" applyProtection="1">
      <alignment horizontal="center" vertical="center"/>
      <protection/>
    </xf>
    <xf numFmtId="0" fontId="3" fillId="8" borderId="16" xfId="0" applyFont="1" applyFill="1" applyBorder="1" applyAlignment="1" applyProtection="1">
      <alignment horizontal="left"/>
      <protection/>
    </xf>
    <xf numFmtId="0" fontId="3" fillId="8" borderId="53" xfId="0" applyFont="1" applyFill="1" applyBorder="1" applyAlignment="1" applyProtection="1">
      <alignment vertical="center"/>
      <protection/>
    </xf>
    <xf numFmtId="0" fontId="3" fillId="8" borderId="61" xfId="0" applyFont="1" applyFill="1" applyBorder="1" applyAlignment="1" applyProtection="1">
      <alignment vertical="center"/>
      <protection/>
    </xf>
    <xf numFmtId="4" fontId="3" fillId="8" borderId="54" xfId="0" applyNumberFormat="1" applyFont="1" applyFill="1" applyBorder="1" applyAlignment="1" applyProtection="1">
      <alignment vertical="center"/>
      <protection/>
    </xf>
    <xf numFmtId="4" fontId="3" fillId="8" borderId="54" xfId="0" applyNumberFormat="1" applyFont="1" applyFill="1" applyBorder="1" applyAlignment="1" applyProtection="1">
      <alignment horizontal="left" vertical="center"/>
      <protection/>
    </xf>
    <xf numFmtId="0" fontId="3" fillId="8" borderId="54" xfId="0" applyFont="1" applyFill="1" applyBorder="1" applyAlignment="1" applyProtection="1">
      <alignment horizontal="left" vertical="center"/>
      <protection/>
    </xf>
    <xf numFmtId="0" fontId="3" fillId="8" borderId="0" xfId="0" applyFont="1" applyFill="1" applyAlignment="1" applyProtection="1">
      <alignment horizontal="left" vertical="center"/>
      <protection/>
    </xf>
    <xf numFmtId="0" fontId="2" fillId="8" borderId="38" xfId="0" applyFont="1" applyFill="1" applyBorder="1" applyAlignment="1" applyProtection="1">
      <alignment vertical="center"/>
      <protection/>
    </xf>
    <xf numFmtId="0" fontId="2" fillId="8" borderId="66" xfId="0" applyFont="1" applyFill="1" applyBorder="1" applyAlignment="1" applyProtection="1">
      <alignment vertical="center"/>
      <protection/>
    </xf>
    <xf numFmtId="0" fontId="2" fillId="8" borderId="0" xfId="0" applyFont="1" applyFill="1" applyAlignment="1" applyProtection="1">
      <alignment horizontal="left" vertical="center"/>
      <protection/>
    </xf>
    <xf numFmtId="0" fontId="2" fillId="8" borderId="41" xfId="0" applyFont="1" applyFill="1" applyBorder="1" applyAlignment="1" applyProtection="1">
      <alignment vertical="center"/>
      <protection/>
    </xf>
    <xf numFmtId="0" fontId="2" fillId="8" borderId="48" xfId="0" applyFont="1" applyFill="1" applyBorder="1" applyAlignment="1" applyProtection="1">
      <alignment vertical="center"/>
      <protection/>
    </xf>
    <xf numFmtId="0" fontId="2" fillId="8" borderId="47" xfId="0" applyFont="1" applyFill="1" applyBorder="1" applyAlignment="1" applyProtection="1">
      <alignment vertical="center"/>
      <protection/>
    </xf>
    <xf numFmtId="0" fontId="33" fillId="8" borderId="16" xfId="0" applyFont="1" applyFill="1" applyBorder="1" applyAlignment="1" applyProtection="1">
      <alignment horizontal="left"/>
      <protection/>
    </xf>
    <xf numFmtId="0" fontId="33" fillId="8" borderId="38" xfId="0" applyFont="1" applyFill="1" applyBorder="1" applyAlignment="1" applyProtection="1">
      <alignment vertical="center"/>
      <protection/>
    </xf>
    <xf numFmtId="0" fontId="33" fillId="8" borderId="66" xfId="0" applyFont="1" applyFill="1" applyBorder="1" applyAlignment="1" applyProtection="1">
      <alignment vertical="center"/>
      <protection/>
    </xf>
    <xf numFmtId="4" fontId="33" fillId="8" borderId="33" xfId="0" applyNumberFormat="1" applyFont="1" applyFill="1" applyBorder="1" applyAlignment="1" applyProtection="1">
      <alignment vertical="center"/>
      <protection/>
    </xf>
    <xf numFmtId="4" fontId="33" fillId="8" borderId="33" xfId="0" applyNumberFormat="1" applyFont="1" applyFill="1" applyBorder="1" applyAlignment="1" applyProtection="1">
      <alignment horizontal="left" vertical="center"/>
      <protection/>
    </xf>
    <xf numFmtId="0" fontId="33" fillId="8" borderId="33" xfId="0" applyFont="1" applyFill="1" applyBorder="1" applyAlignment="1" applyProtection="1">
      <alignment horizontal="left" vertical="center"/>
      <protection/>
    </xf>
    <xf numFmtId="0" fontId="33" fillId="8" borderId="17" xfId="0" applyFont="1" applyFill="1" applyBorder="1" applyAlignment="1" applyProtection="1">
      <alignment horizontal="left"/>
      <protection/>
    </xf>
    <xf numFmtId="0" fontId="33" fillId="8" borderId="0" xfId="0" applyFont="1" applyFill="1" applyAlignment="1" applyProtection="1">
      <alignment horizontal="left" vertical="center"/>
      <protection/>
    </xf>
    <xf numFmtId="0" fontId="3" fillId="8" borderId="43" xfId="0" applyFont="1" applyFill="1" applyBorder="1" applyAlignment="1" applyProtection="1">
      <alignment vertical="center"/>
      <protection/>
    </xf>
    <xf numFmtId="0" fontId="3" fillId="8" borderId="45" xfId="0" applyFont="1" applyFill="1" applyBorder="1" applyAlignment="1" applyProtection="1">
      <alignment vertical="center"/>
      <protection/>
    </xf>
    <xf numFmtId="4" fontId="3" fillId="8" borderId="30" xfId="0" applyNumberFormat="1" applyFont="1" applyFill="1" applyBorder="1" applyAlignment="1" applyProtection="1">
      <alignment vertical="center"/>
      <protection/>
    </xf>
    <xf numFmtId="4" fontId="3" fillId="8" borderId="30" xfId="0" applyNumberFormat="1" applyFont="1" applyFill="1" applyBorder="1" applyAlignment="1" applyProtection="1">
      <alignment horizontal="left" vertical="center"/>
      <protection/>
    </xf>
    <xf numFmtId="0" fontId="3" fillId="8" borderId="30" xfId="0" applyFont="1" applyFill="1" applyBorder="1" applyAlignment="1" applyProtection="1">
      <alignment horizontal="left" vertical="center"/>
      <protection/>
    </xf>
    <xf numFmtId="0" fontId="2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horizontal="left" vertical="center"/>
      <protection/>
    </xf>
    <xf numFmtId="4" fontId="13" fillId="14" borderId="56" xfId="0" applyNumberFormat="1" applyFont="1" applyFill="1" applyBorder="1" applyAlignment="1" applyProtection="1">
      <alignment horizontal="center" vertical="center"/>
      <protection/>
    </xf>
    <xf numFmtId="1" fontId="5" fillId="14" borderId="32" xfId="0" applyNumberFormat="1" applyFont="1" applyFill="1" applyBorder="1" applyAlignment="1" applyProtection="1">
      <alignment horizontal="center" vertical="center"/>
      <protection/>
    </xf>
    <xf numFmtId="4" fontId="3" fillId="8" borderId="43" xfId="0" applyNumberFormat="1" applyFont="1" applyFill="1" applyBorder="1" applyAlignment="1" applyProtection="1">
      <alignment horizontal="left" vertical="center"/>
      <protection/>
    </xf>
    <xf numFmtId="4" fontId="3" fillId="8" borderId="29" xfId="0" applyNumberFormat="1" applyFont="1" applyFill="1" applyBorder="1" applyAlignment="1" applyProtection="1">
      <alignment horizontal="left" vertical="center"/>
      <protection/>
    </xf>
    <xf numFmtId="4" fontId="3" fillId="8" borderId="45" xfId="0" applyNumberFormat="1" applyFont="1" applyFill="1" applyBorder="1" applyAlignment="1" applyProtection="1">
      <alignment horizontal="left" vertical="center"/>
      <protection/>
    </xf>
    <xf numFmtId="4" fontId="3" fillId="8" borderId="53" xfId="0" applyNumberFormat="1" applyFont="1" applyFill="1" applyBorder="1" applyAlignment="1" applyProtection="1">
      <alignment horizontal="left" vertical="center"/>
      <protection/>
    </xf>
    <xf numFmtId="4" fontId="3" fillId="8" borderId="49" xfId="0" applyNumberFormat="1" applyFont="1" applyFill="1" applyBorder="1" applyAlignment="1" applyProtection="1">
      <alignment horizontal="left" vertical="center"/>
      <protection/>
    </xf>
    <xf numFmtId="4" fontId="3" fillId="8" borderId="61" xfId="0" applyNumberFormat="1" applyFont="1" applyFill="1" applyBorder="1" applyAlignment="1" applyProtection="1">
      <alignment horizontal="left" vertical="center"/>
      <protection/>
    </xf>
    <xf numFmtId="0" fontId="2" fillId="8" borderId="50" xfId="0" applyFont="1" applyFill="1" applyBorder="1" applyAlignment="1" applyProtection="1">
      <alignment vertical="center"/>
      <protection/>
    </xf>
    <xf numFmtId="0" fontId="2" fillId="8" borderId="52" xfId="0" applyFont="1" applyFill="1" applyBorder="1" applyAlignment="1" applyProtection="1">
      <alignment vertical="center"/>
      <protection/>
    </xf>
    <xf numFmtId="0" fontId="2" fillId="8" borderId="39" xfId="0" applyFont="1" applyFill="1" applyBorder="1" applyAlignment="1" applyProtection="1">
      <alignment vertical="center"/>
      <protection/>
    </xf>
    <xf numFmtId="0" fontId="2" fillId="8" borderId="76" xfId="0" applyFont="1" applyFill="1" applyBorder="1" applyAlignment="1" applyProtection="1">
      <alignment vertical="center"/>
      <protection/>
    </xf>
    <xf numFmtId="0" fontId="2" fillId="8" borderId="77" xfId="0" applyFont="1" applyFill="1" applyBorder="1" applyAlignment="1" applyProtection="1">
      <alignment vertical="center"/>
      <protection/>
    </xf>
    <xf numFmtId="0" fontId="3" fillId="8" borderId="17" xfId="0" applyFont="1" applyFill="1" applyBorder="1" applyAlignment="1" applyProtection="1">
      <alignment horizontal="left"/>
      <protection/>
    </xf>
    <xf numFmtId="0" fontId="2" fillId="8" borderId="39" xfId="0" applyFont="1" applyFill="1" applyBorder="1" applyAlignment="1" applyProtection="1">
      <alignment vertical="center"/>
      <protection/>
    </xf>
    <xf numFmtId="0" fontId="23" fillId="8" borderId="0" xfId="0" applyFont="1" applyFill="1" applyBorder="1" applyAlignment="1" applyProtection="1">
      <alignment horizontal="left" vertical="center"/>
      <protection/>
    </xf>
    <xf numFmtId="0" fontId="26" fillId="8" borderId="0" xfId="0" applyFont="1" applyFill="1" applyBorder="1" applyAlignment="1" applyProtection="1">
      <alignment vertical="center"/>
      <protection/>
    </xf>
    <xf numFmtId="4" fontId="26" fillId="8" borderId="0" xfId="0" applyNumberFormat="1" applyFont="1" applyFill="1" applyBorder="1" applyAlignment="1" applyProtection="1">
      <alignment horizontal="left" vertical="center"/>
      <protection/>
    </xf>
    <xf numFmtId="0" fontId="10" fillId="8" borderId="19" xfId="0" applyFont="1" applyFill="1" applyBorder="1" applyAlignment="1" applyProtection="1">
      <alignment horizontal="left"/>
      <protection/>
    </xf>
    <xf numFmtId="0" fontId="10" fillId="8" borderId="20" xfId="0" applyFont="1" applyFill="1" applyBorder="1" applyAlignment="1" applyProtection="1">
      <alignment horizontal="left"/>
      <protection/>
    </xf>
    <xf numFmtId="0" fontId="10" fillId="8" borderId="21" xfId="0" applyFont="1" applyFill="1" applyBorder="1" applyAlignment="1" applyProtection="1">
      <alignment horizontal="left"/>
      <protection/>
    </xf>
    <xf numFmtId="0" fontId="10" fillId="8" borderId="0" xfId="0" applyFont="1" applyFill="1" applyBorder="1" applyAlignment="1" applyProtection="1">
      <alignment horizontal="left"/>
      <protection/>
    </xf>
    <xf numFmtId="0" fontId="12" fillId="8" borderId="0" xfId="0" applyFont="1" applyFill="1" applyAlignment="1" applyProtection="1">
      <alignment horizontal="right"/>
      <protection/>
    </xf>
    <xf numFmtId="0" fontId="10" fillId="8" borderId="0" xfId="0" applyFont="1" applyFill="1" applyAlignment="1" applyProtection="1">
      <alignment horizontal="left"/>
      <protection/>
    </xf>
    <xf numFmtId="4" fontId="2" fillId="8" borderId="27" xfId="0" applyNumberFormat="1" applyFont="1" applyFill="1" applyBorder="1" applyAlignment="1" applyProtection="1">
      <alignment horizontal="left" vertical="center"/>
      <protection locked="0"/>
    </xf>
    <xf numFmtId="4" fontId="2" fillId="8" borderId="38" xfId="0" applyNumberFormat="1" applyFont="1" applyFill="1" applyBorder="1" applyAlignment="1" applyProtection="1">
      <alignment horizontal="left" vertical="center"/>
      <protection locked="0"/>
    </xf>
    <xf numFmtId="4" fontId="2" fillId="8" borderId="26" xfId="0" applyNumberFormat="1" applyFont="1" applyFill="1" applyBorder="1" applyAlignment="1" applyProtection="1">
      <alignment horizontal="left" vertical="center"/>
      <protection locked="0"/>
    </xf>
    <xf numFmtId="4" fontId="2" fillId="8" borderId="76" xfId="0" applyNumberFormat="1" applyFont="1" applyFill="1" applyBorder="1" applyAlignment="1" applyProtection="1">
      <alignment horizontal="left" vertical="center"/>
      <protection locked="0"/>
    </xf>
    <xf numFmtId="4" fontId="2" fillId="8" borderId="101" xfId="0" applyNumberFormat="1" applyFont="1" applyFill="1" applyBorder="1" applyAlignment="1" applyProtection="1">
      <alignment horizontal="left" vertical="center"/>
      <protection locked="0"/>
    </xf>
    <xf numFmtId="4" fontId="16" fillId="8" borderId="63" xfId="0" applyNumberFormat="1" applyFont="1" applyFill="1" applyBorder="1" applyAlignment="1" applyProtection="1">
      <alignment/>
      <protection locked="0"/>
    </xf>
    <xf numFmtId="4" fontId="14" fillId="8" borderId="31" xfId="0" applyNumberFormat="1" applyFont="1" applyFill="1" applyBorder="1" applyAlignment="1" applyProtection="1">
      <alignment/>
      <protection locked="0"/>
    </xf>
    <xf numFmtId="0" fontId="30" fillId="8" borderId="0" xfId="0" applyFont="1" applyFill="1" applyBorder="1" applyAlignment="1">
      <alignment horizontal="right"/>
    </xf>
    <xf numFmtId="0" fontId="3" fillId="26" borderId="0" xfId="0" applyFont="1" applyFill="1" applyBorder="1" applyAlignment="1" applyProtection="1">
      <alignment horizontal="left" vertical="center" wrapText="1"/>
      <protection/>
    </xf>
    <xf numFmtId="0" fontId="30" fillId="8" borderId="0" xfId="0" applyFont="1" applyFill="1" applyBorder="1" applyAlignment="1">
      <alignment horizontal="right" wrapText="1"/>
    </xf>
    <xf numFmtId="4" fontId="2" fillId="8" borderId="52" xfId="0" applyNumberFormat="1" applyFont="1" applyFill="1" applyBorder="1" applyAlignment="1" applyProtection="1">
      <alignment horizontal="right" vertical="center"/>
      <protection locked="0"/>
    </xf>
    <xf numFmtId="4" fontId="2" fillId="8" borderId="47" xfId="0" applyNumberFormat="1" applyFont="1" applyFill="1" applyBorder="1" applyAlignment="1" applyProtection="1">
      <alignment horizontal="right" vertical="center"/>
      <protection locked="0"/>
    </xf>
    <xf numFmtId="4" fontId="2" fillId="8" borderId="48" xfId="0" applyNumberFormat="1" applyFont="1" applyFill="1" applyBorder="1" applyAlignment="1" applyProtection="1">
      <alignment horizontal="right" vertical="center"/>
      <protection locked="0"/>
    </xf>
    <xf numFmtId="0" fontId="10" fillId="8" borderId="0" xfId="0" applyFont="1" applyFill="1" applyAlignment="1" applyProtection="1">
      <alignment/>
      <protection/>
    </xf>
    <xf numFmtId="0" fontId="10" fillId="8" borderId="0" xfId="0" applyFont="1" applyFill="1" applyBorder="1" applyAlignment="1" applyProtection="1">
      <alignment/>
      <protection/>
    </xf>
    <xf numFmtId="0" fontId="10" fillId="8" borderId="13" xfId="0" applyFont="1" applyFill="1" applyBorder="1" applyAlignment="1" applyProtection="1">
      <alignment/>
      <protection/>
    </xf>
    <xf numFmtId="0" fontId="10" fillId="8" borderId="14" xfId="0" applyFont="1" applyFill="1" applyBorder="1" applyAlignment="1" applyProtection="1">
      <alignment/>
      <protection/>
    </xf>
    <xf numFmtId="0" fontId="10" fillId="8" borderId="15" xfId="0" applyFont="1" applyFill="1" applyBorder="1" applyAlignment="1" applyProtection="1">
      <alignment/>
      <protection/>
    </xf>
    <xf numFmtId="0" fontId="10" fillId="8" borderId="16" xfId="0" applyFont="1" applyFill="1" applyBorder="1" applyAlignment="1" applyProtection="1">
      <alignment/>
      <protection/>
    </xf>
    <xf numFmtId="0" fontId="3" fillId="8" borderId="0" xfId="0" applyFont="1" applyFill="1" applyBorder="1" applyAlignment="1" applyProtection="1">
      <alignment/>
      <protection/>
    </xf>
    <xf numFmtId="0" fontId="10" fillId="8" borderId="17" xfId="0" applyFont="1" applyFill="1" applyBorder="1" applyAlignment="1" applyProtection="1">
      <alignment/>
      <protection/>
    </xf>
    <xf numFmtId="0" fontId="10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/>
      <protection/>
    </xf>
    <xf numFmtId="0" fontId="13" fillId="8" borderId="0" xfId="0" applyFont="1" applyFill="1" applyBorder="1" applyAlignment="1" applyProtection="1">
      <alignment horizontal="center" vertical="center"/>
      <protection/>
    </xf>
    <xf numFmtId="0" fontId="2" fillId="8" borderId="16" xfId="0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 vertical="center"/>
      <protection/>
    </xf>
    <xf numFmtId="0" fontId="2" fillId="8" borderId="17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7" fillId="8" borderId="16" xfId="0" applyFont="1" applyFill="1" applyBorder="1" applyAlignment="1" applyProtection="1">
      <alignment/>
      <protection/>
    </xf>
    <xf numFmtId="0" fontId="5" fillId="10" borderId="0" xfId="0" applyFont="1" applyFill="1" applyBorder="1" applyAlignment="1" applyProtection="1">
      <alignment vertical="center"/>
      <protection/>
    </xf>
    <xf numFmtId="0" fontId="7" fillId="8" borderId="17" xfId="0" applyFont="1" applyFill="1" applyBorder="1" applyAlignment="1" applyProtection="1">
      <alignment/>
      <protection/>
    </xf>
    <xf numFmtId="0" fontId="5" fillId="8" borderId="0" xfId="0" applyFont="1" applyFill="1" applyAlignment="1" applyProtection="1">
      <alignment vertical="center"/>
      <protection/>
    </xf>
    <xf numFmtId="0" fontId="3" fillId="8" borderId="18" xfId="0" applyFont="1" applyFill="1" applyBorder="1" applyAlignment="1" applyProtection="1">
      <alignment/>
      <protection/>
    </xf>
    <xf numFmtId="0" fontId="20" fillId="8" borderId="18" xfId="0" applyNumberFormat="1" applyFont="1" applyFill="1" applyBorder="1" applyAlignment="1" applyProtection="1">
      <alignment horizontal="left"/>
      <protection/>
    </xf>
    <xf numFmtId="0" fontId="10" fillId="8" borderId="18" xfId="0" applyFont="1" applyFill="1" applyBorder="1" applyAlignment="1" applyProtection="1">
      <alignment/>
      <protection/>
    </xf>
    <xf numFmtId="0" fontId="10" fillId="8" borderId="18" xfId="0" applyFont="1" applyFill="1" applyBorder="1" applyAlignment="1" applyProtection="1">
      <alignment horizontal="left"/>
      <protection/>
    </xf>
    <xf numFmtId="0" fontId="34" fillId="8" borderId="0" xfId="0" applyFont="1" applyFill="1" applyBorder="1" applyAlignment="1" applyProtection="1">
      <alignment horizontal="center"/>
      <protection/>
    </xf>
    <xf numFmtId="0" fontId="10" fillId="8" borderId="16" xfId="0" applyFont="1" applyFill="1" applyBorder="1" applyAlignment="1" applyProtection="1">
      <alignment wrapText="1"/>
      <protection/>
    </xf>
    <xf numFmtId="0" fontId="10" fillId="8" borderId="18" xfId="0" applyFont="1" applyFill="1" applyBorder="1" applyAlignment="1" applyProtection="1">
      <alignment wrapText="1"/>
      <protection/>
    </xf>
    <xf numFmtId="0" fontId="10" fillId="8" borderId="18" xfId="0" applyFont="1" applyFill="1" applyBorder="1" applyAlignment="1" applyProtection="1">
      <alignment horizontal="center" wrapText="1"/>
      <protection/>
    </xf>
    <xf numFmtId="0" fontId="20" fillId="8" borderId="18" xfId="0" applyFont="1" applyFill="1" applyBorder="1" applyAlignment="1" applyProtection="1">
      <alignment horizontal="center" wrapText="1"/>
      <protection/>
    </xf>
    <xf numFmtId="0" fontId="10" fillId="8" borderId="18" xfId="0" applyFont="1" applyFill="1" applyBorder="1" applyAlignment="1" applyProtection="1">
      <alignment horizontal="center" vertical="center" wrapText="1"/>
      <protection/>
    </xf>
    <xf numFmtId="0" fontId="20" fillId="8" borderId="18" xfId="0" applyFont="1" applyFill="1" applyBorder="1" applyAlignment="1" applyProtection="1">
      <alignment horizontal="center"/>
      <protection/>
    </xf>
    <xf numFmtId="0" fontId="10" fillId="8" borderId="17" xfId="0" applyFont="1" applyFill="1" applyBorder="1" applyAlignment="1" applyProtection="1">
      <alignment wrapText="1"/>
      <protection/>
    </xf>
    <xf numFmtId="0" fontId="10" fillId="8" borderId="0" xfId="0" applyFont="1" applyFill="1" applyAlignment="1" applyProtection="1">
      <alignment wrapText="1"/>
      <protection/>
    </xf>
    <xf numFmtId="0" fontId="10" fillId="27" borderId="18" xfId="0" applyFont="1" applyFill="1" applyBorder="1" applyAlignment="1" applyProtection="1">
      <alignment horizontal="left"/>
      <protection/>
    </xf>
    <xf numFmtId="0" fontId="10" fillId="8" borderId="0" xfId="0" applyFont="1" applyFill="1" applyBorder="1" applyAlignment="1" applyProtection="1">
      <alignment horizontal="center" wrapText="1"/>
      <protection/>
    </xf>
    <xf numFmtId="0" fontId="10" fillId="8" borderId="0" xfId="0" applyFont="1" applyFill="1" applyBorder="1" applyAlignment="1" applyProtection="1" quotePrefix="1">
      <alignment horizontal="left"/>
      <protection/>
    </xf>
    <xf numFmtId="0" fontId="10" fillId="8" borderId="19" xfId="0" applyFont="1" applyFill="1" applyBorder="1" applyAlignment="1" applyProtection="1">
      <alignment/>
      <protection/>
    </xf>
    <xf numFmtId="0" fontId="10" fillId="8" borderId="20" xfId="0" applyFont="1" applyFill="1" applyBorder="1" applyAlignment="1" applyProtection="1">
      <alignment/>
      <protection/>
    </xf>
    <xf numFmtId="0" fontId="10" fillId="8" borderId="21" xfId="0" applyFont="1" applyFill="1" applyBorder="1" applyAlignment="1" applyProtection="1">
      <alignment/>
      <protection/>
    </xf>
    <xf numFmtId="0" fontId="10" fillId="8" borderId="0" xfId="0" applyFont="1" applyFill="1" applyBorder="1" applyAlignment="1" applyProtection="1">
      <alignment/>
      <protection/>
    </xf>
    <xf numFmtId="0" fontId="10" fillId="8" borderId="0" xfId="0" applyFont="1" applyFill="1" applyAlignment="1" applyProtection="1">
      <alignment/>
      <protection/>
    </xf>
    <xf numFmtId="3" fontId="10" fillId="8" borderId="23" xfId="0" applyNumberFormat="1" applyFont="1" applyFill="1" applyBorder="1" applyAlignment="1" applyProtection="1">
      <alignment horizontal="center"/>
      <protection locked="0"/>
    </xf>
    <xf numFmtId="3" fontId="10" fillId="8" borderId="24" xfId="0" applyNumberFormat="1" applyFont="1" applyFill="1" applyBorder="1" applyAlignment="1" applyProtection="1">
      <alignment horizontal="center"/>
      <protection locked="0"/>
    </xf>
    <xf numFmtId="0" fontId="10" fillId="8" borderId="23" xfId="0" applyFont="1" applyFill="1" applyBorder="1" applyAlignment="1" applyProtection="1">
      <alignment horizontal="center"/>
      <protection locked="0"/>
    </xf>
    <xf numFmtId="0" fontId="10" fillId="8" borderId="24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vertical="center"/>
      <protection locked="0"/>
    </xf>
    <xf numFmtId="4" fontId="2" fillId="8" borderId="0" xfId="0" applyNumberFormat="1" applyFont="1" applyFill="1" applyBorder="1" applyAlignment="1" applyProtection="1">
      <alignment horizontal="left" vertical="center"/>
      <protection locked="0"/>
    </xf>
    <xf numFmtId="0" fontId="13" fillId="8" borderId="0" xfId="0" applyFont="1" applyFill="1" applyBorder="1" applyAlignment="1" applyProtection="1">
      <alignment horizontal="left" vertical="center"/>
      <protection/>
    </xf>
    <xf numFmtId="0" fontId="10" fillId="8" borderId="0" xfId="0" applyFont="1" applyFill="1" applyBorder="1" applyAlignment="1" applyProtection="1">
      <alignment vertical="center"/>
      <protection/>
    </xf>
    <xf numFmtId="0" fontId="10" fillId="8" borderId="0" xfId="0" applyFont="1" applyFill="1" applyBorder="1" applyAlignment="1" applyProtection="1" quotePrefix="1">
      <alignment vertical="center"/>
      <protection/>
    </xf>
    <xf numFmtId="4" fontId="3" fillId="14" borderId="56" xfId="0" applyNumberFormat="1" applyFont="1" applyFill="1" applyBorder="1" applyAlignment="1" applyProtection="1">
      <alignment horizontal="center" vertical="center"/>
      <protection/>
    </xf>
    <xf numFmtId="1" fontId="3" fillId="14" borderId="32" xfId="0" applyNumberFormat="1" applyFont="1" applyFill="1" applyBorder="1" applyAlignment="1" applyProtection="1">
      <alignment horizontal="center" vertical="center"/>
      <protection/>
    </xf>
    <xf numFmtId="0" fontId="2" fillId="8" borderId="39" xfId="0" applyFont="1" applyFill="1" applyBorder="1" applyAlignment="1" applyProtection="1">
      <alignment vertical="center"/>
      <protection/>
    </xf>
    <xf numFmtId="0" fontId="2" fillId="8" borderId="27" xfId="0" applyFont="1" applyFill="1" applyBorder="1" applyAlignment="1" applyProtection="1">
      <alignment vertical="center"/>
      <protection/>
    </xf>
    <xf numFmtId="0" fontId="2" fillId="8" borderId="47" xfId="0" applyFont="1" applyFill="1" applyBorder="1" applyAlignment="1" applyProtection="1">
      <alignment vertical="center"/>
      <protection/>
    </xf>
    <xf numFmtId="0" fontId="3" fillId="8" borderId="29" xfId="0" applyFont="1" applyFill="1" applyBorder="1" applyAlignment="1" applyProtection="1">
      <alignment vertical="center"/>
      <protection/>
    </xf>
    <xf numFmtId="4" fontId="3" fillId="8" borderId="45" xfId="0" applyNumberFormat="1" applyFont="1" applyFill="1" applyBorder="1" applyAlignment="1" applyProtection="1">
      <alignment vertical="center"/>
      <protection/>
    </xf>
    <xf numFmtId="4" fontId="2" fillId="8" borderId="50" xfId="0" applyNumberFormat="1" applyFont="1" applyFill="1" applyBorder="1" applyAlignment="1" applyProtection="1">
      <alignment horizontal="left" vertical="center"/>
      <protection locked="0"/>
    </xf>
    <xf numFmtId="0" fontId="3" fillId="8" borderId="0" xfId="0" applyFont="1" applyFill="1" applyBorder="1" applyAlignment="1">
      <alignment horizontal="center" vertical="center"/>
    </xf>
    <xf numFmtId="3" fontId="3" fillId="8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 quotePrefix="1">
      <alignment horizontal="left" vertical="center"/>
    </xf>
    <xf numFmtId="3" fontId="2" fillId="8" borderId="0" xfId="0" applyNumberFormat="1" applyFont="1" applyFill="1" applyBorder="1" applyAlignment="1">
      <alignment horizontal="center" vertical="center"/>
    </xf>
    <xf numFmtId="4" fontId="2" fillId="8" borderId="0" xfId="0" applyNumberFormat="1" applyFont="1" applyFill="1" applyBorder="1" applyAlignment="1">
      <alignment vertical="center"/>
    </xf>
    <xf numFmtId="0" fontId="2" fillId="8" borderId="0" xfId="0" applyFont="1" applyFill="1" applyBorder="1" applyAlignment="1">
      <alignment horizontal="left" vertical="center"/>
    </xf>
    <xf numFmtId="0" fontId="3" fillId="14" borderId="44" xfId="0" applyFont="1" applyFill="1" applyBorder="1" applyAlignment="1" quotePrefix="1">
      <alignment horizontal="left" vertical="center"/>
    </xf>
    <xf numFmtId="0" fontId="36" fillId="8" borderId="0" xfId="0" applyFont="1" applyFill="1" applyAlignment="1">
      <alignment/>
    </xf>
    <xf numFmtId="0" fontId="37" fillId="8" borderId="51" xfId="0" applyFont="1" applyFill="1" applyBorder="1" applyAlignment="1" applyProtection="1">
      <alignment horizontal="center" vertical="center"/>
      <protection locked="0"/>
    </xf>
    <xf numFmtId="4" fontId="2" fillId="8" borderId="33" xfId="0" applyNumberFormat="1" applyFont="1" applyFill="1" applyBorder="1" applyAlignment="1" applyProtection="1">
      <alignment horizontal="right" vertical="center"/>
      <protection locked="0"/>
    </xf>
    <xf numFmtId="0" fontId="3" fillId="8" borderId="38" xfId="0" applyFont="1" applyFill="1" applyBorder="1" applyAlignment="1" applyProtection="1">
      <alignment vertical="center"/>
      <protection/>
    </xf>
    <xf numFmtId="0" fontId="3" fillId="8" borderId="66" xfId="0" applyFont="1" applyFill="1" applyBorder="1" applyAlignment="1" applyProtection="1">
      <alignment vertical="center"/>
      <protection/>
    </xf>
    <xf numFmtId="4" fontId="3" fillId="8" borderId="33" xfId="0" applyNumberFormat="1" applyFont="1" applyFill="1" applyBorder="1" applyAlignment="1" applyProtection="1">
      <alignment horizontal="left" vertical="center"/>
      <protection locked="0"/>
    </xf>
    <xf numFmtId="0" fontId="3" fillId="8" borderId="33" xfId="0" applyFont="1" applyFill="1" applyBorder="1" applyAlignment="1" applyProtection="1">
      <alignment horizontal="left" vertical="center"/>
      <protection locked="0"/>
    </xf>
    <xf numFmtId="0" fontId="3" fillId="8" borderId="41" xfId="0" applyFont="1" applyFill="1" applyBorder="1" applyAlignment="1" applyProtection="1">
      <alignment vertical="center"/>
      <protection/>
    </xf>
    <xf numFmtId="0" fontId="3" fillId="8" borderId="48" xfId="0" applyFont="1" applyFill="1" applyBorder="1" applyAlignment="1" applyProtection="1">
      <alignment vertical="center"/>
      <protection/>
    </xf>
    <xf numFmtId="4" fontId="3" fillId="8" borderId="46" xfId="0" applyNumberFormat="1" applyFont="1" applyFill="1" applyBorder="1" applyAlignment="1" applyProtection="1">
      <alignment horizontal="left" vertical="center"/>
      <protection locked="0"/>
    </xf>
    <xf numFmtId="0" fontId="3" fillId="8" borderId="46" xfId="0" applyFont="1" applyFill="1" applyBorder="1" applyAlignment="1" applyProtection="1">
      <alignment horizontal="left" vertical="center"/>
      <protection locked="0"/>
    </xf>
    <xf numFmtId="4" fontId="3" fillId="8" borderId="33" xfId="0" applyNumberFormat="1" applyFont="1" applyFill="1" applyBorder="1" applyAlignment="1" applyProtection="1">
      <alignment vertical="center"/>
      <protection/>
    </xf>
    <xf numFmtId="4" fontId="3" fillId="8" borderId="33" xfId="0" applyNumberFormat="1" applyFont="1" applyFill="1" applyBorder="1" applyAlignment="1" applyProtection="1">
      <alignment horizontal="left" vertical="center"/>
      <protection/>
    </xf>
    <xf numFmtId="0" fontId="3" fillId="8" borderId="33" xfId="0" applyFont="1" applyFill="1" applyBorder="1" applyAlignment="1" applyProtection="1">
      <alignment horizontal="left" vertical="center"/>
      <protection/>
    </xf>
    <xf numFmtId="0" fontId="3" fillId="8" borderId="39" xfId="0" applyFont="1" applyFill="1" applyBorder="1" applyAlignment="1" applyProtection="1">
      <alignment vertical="center"/>
      <protection/>
    </xf>
    <xf numFmtId="0" fontId="3" fillId="8" borderId="47" xfId="0" applyFont="1" applyFill="1" applyBorder="1" applyAlignment="1" applyProtection="1">
      <alignment vertical="center"/>
      <protection/>
    </xf>
    <xf numFmtId="4" fontId="3" fillId="8" borderId="34" xfId="0" applyNumberFormat="1" applyFont="1" applyFill="1" applyBorder="1" applyAlignment="1" applyProtection="1">
      <alignment vertical="center"/>
      <protection/>
    </xf>
    <xf numFmtId="4" fontId="3" fillId="8" borderId="34" xfId="0" applyNumberFormat="1" applyFont="1" applyFill="1" applyBorder="1" applyAlignment="1" applyProtection="1">
      <alignment horizontal="left" vertical="center"/>
      <protection/>
    </xf>
    <xf numFmtId="0" fontId="3" fillId="8" borderId="34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3" fillId="8" borderId="55" xfId="0" applyFont="1" applyFill="1" applyBorder="1" applyAlignment="1" applyProtection="1">
      <alignment vertical="center"/>
      <protection/>
    </xf>
    <xf numFmtId="0" fontId="3" fillId="8" borderId="44" xfId="0" applyFont="1" applyFill="1" applyBorder="1" applyAlignment="1" applyProtection="1">
      <alignment vertical="center"/>
      <protection/>
    </xf>
    <xf numFmtId="4" fontId="3" fillId="8" borderId="56" xfId="0" applyNumberFormat="1" applyFont="1" applyFill="1" applyBorder="1" applyAlignment="1" applyProtection="1">
      <alignment vertical="center"/>
      <protection locked="0"/>
    </xf>
    <xf numFmtId="4" fontId="3" fillId="8" borderId="56" xfId="0" applyNumberFormat="1" applyFont="1" applyFill="1" applyBorder="1" applyAlignment="1" applyProtection="1">
      <alignment horizontal="left" vertical="center"/>
      <protection locked="0"/>
    </xf>
    <xf numFmtId="0" fontId="3" fillId="8" borderId="56" xfId="0" applyFont="1" applyFill="1" applyBorder="1" applyAlignment="1" applyProtection="1">
      <alignment horizontal="left" vertical="center"/>
      <protection locked="0"/>
    </xf>
    <xf numFmtId="4" fontId="2" fillId="8" borderId="33" xfId="0" applyNumberFormat="1" applyFont="1" applyFill="1" applyBorder="1" applyAlignment="1" applyProtection="1">
      <alignment horizontal="right" vertical="center"/>
      <protection locked="0"/>
    </xf>
    <xf numFmtId="1" fontId="2" fillId="8" borderId="51" xfId="0" applyNumberFormat="1" applyFont="1" applyFill="1" applyBorder="1" applyAlignment="1" applyProtection="1">
      <alignment horizontal="center" vertical="center"/>
      <protection locked="0"/>
    </xf>
    <xf numFmtId="1" fontId="2" fillId="8" borderId="34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4" fontId="5" fillId="8" borderId="0" xfId="0" applyNumberFormat="1" applyFont="1" applyFill="1" applyBorder="1" applyAlignment="1">
      <alignment/>
    </xf>
    <xf numFmtId="0" fontId="13" fillId="8" borderId="0" xfId="0" applyFont="1" applyFill="1" applyBorder="1" applyAlignment="1" quotePrefix="1">
      <alignment horizontal="left"/>
    </xf>
    <xf numFmtId="4" fontId="2" fillId="8" borderId="45" xfId="0" applyNumberFormat="1" applyFont="1" applyFill="1" applyBorder="1" applyAlignment="1" applyProtection="1">
      <alignment horizontal="left" vertical="center"/>
      <protection locked="0"/>
    </xf>
    <xf numFmtId="4" fontId="2" fillId="8" borderId="52" xfId="109" applyNumberFormat="1" applyFont="1" applyFill="1" applyBorder="1" applyAlignment="1" applyProtection="1">
      <alignment vertical="center"/>
      <protection locked="0"/>
    </xf>
    <xf numFmtId="4" fontId="2" fillId="8" borderId="47" xfId="109" applyNumberFormat="1" applyFont="1" applyFill="1" applyBorder="1" applyAlignment="1" applyProtection="1">
      <alignment vertical="center"/>
      <protection locked="0"/>
    </xf>
    <xf numFmtId="4" fontId="2" fillId="8" borderId="77" xfId="109" applyNumberFormat="1" applyFont="1" applyFill="1" applyBorder="1" applyAlignment="1" applyProtection="1">
      <alignment vertical="center"/>
      <protection locked="0"/>
    </xf>
    <xf numFmtId="4" fontId="2" fillId="8" borderId="48" xfId="109" applyNumberFormat="1" applyFont="1" applyFill="1" applyBorder="1" applyAlignment="1" applyProtection="1">
      <alignment vertical="center"/>
      <protection locked="0"/>
    </xf>
    <xf numFmtId="0" fontId="2" fillId="8" borderId="52" xfId="0" applyNumberFormat="1" applyFont="1" applyFill="1" applyBorder="1" applyAlignment="1" applyProtection="1">
      <alignment horizontal="left" vertical="center"/>
      <protection locked="0"/>
    </xf>
    <xf numFmtId="0" fontId="2" fillId="8" borderId="47" xfId="0" applyNumberFormat="1" applyFont="1" applyFill="1" applyBorder="1" applyAlignment="1" applyProtection="1">
      <alignment horizontal="left" vertical="center"/>
      <protection locked="0"/>
    </xf>
    <xf numFmtId="0" fontId="2" fillId="8" borderId="77" xfId="0" applyNumberFormat="1" applyFont="1" applyFill="1" applyBorder="1" applyAlignment="1" applyProtection="1">
      <alignment horizontal="left" vertical="center"/>
      <protection locked="0"/>
    </xf>
    <xf numFmtId="0" fontId="2" fillId="8" borderId="48" xfId="0" applyNumberFormat="1" applyFont="1" applyFill="1" applyBorder="1" applyAlignment="1" applyProtection="1">
      <alignment horizontal="left" vertical="center"/>
      <protection locked="0"/>
    </xf>
    <xf numFmtId="0" fontId="2" fillId="8" borderId="51" xfId="0" applyNumberFormat="1" applyFont="1" applyFill="1" applyBorder="1" applyAlignment="1" applyProtection="1">
      <alignment horizontal="center" vertical="center"/>
      <protection locked="0"/>
    </xf>
    <xf numFmtId="0" fontId="2" fillId="8" borderId="34" xfId="0" applyNumberFormat="1" applyFont="1" applyFill="1" applyBorder="1" applyAlignment="1" applyProtection="1">
      <alignment horizontal="center" vertical="center"/>
      <protection locked="0"/>
    </xf>
    <xf numFmtId="0" fontId="2" fillId="8" borderId="95" xfId="0" applyNumberFormat="1" applyFont="1" applyFill="1" applyBorder="1" applyAlignment="1" applyProtection="1">
      <alignment horizontal="center" vertical="center"/>
      <protection locked="0"/>
    </xf>
    <xf numFmtId="0" fontId="2" fillId="8" borderId="46" xfId="0" applyNumberFormat="1" applyFont="1" applyFill="1" applyBorder="1" applyAlignment="1" applyProtection="1">
      <alignment horizontal="center" vertical="center"/>
      <protection locked="0"/>
    </xf>
    <xf numFmtId="4" fontId="3" fillId="8" borderId="66" xfId="0" applyNumberFormat="1" applyFont="1" applyFill="1" applyBorder="1" applyAlignment="1" applyProtection="1">
      <alignment horizontal="center" vertical="center"/>
      <protection locked="0"/>
    </xf>
    <xf numFmtId="4" fontId="2" fillId="8" borderId="66" xfId="0" applyNumberFormat="1" applyFont="1" applyFill="1" applyBorder="1" applyAlignment="1" applyProtection="1">
      <alignment horizontal="center" vertical="center"/>
      <protection locked="0"/>
    </xf>
    <xf numFmtId="4" fontId="3" fillId="8" borderId="52" xfId="0" applyNumberFormat="1" applyFont="1" applyFill="1" applyBorder="1" applyAlignment="1" applyProtection="1">
      <alignment horizontal="center" vertical="center"/>
      <protection locked="0"/>
    </xf>
    <xf numFmtId="4" fontId="2" fillId="8" borderId="52" xfId="0" applyNumberFormat="1" applyFont="1" applyFill="1" applyBorder="1" applyAlignment="1" applyProtection="1">
      <alignment horizontal="center" vertical="center"/>
      <protection locked="0"/>
    </xf>
    <xf numFmtId="4" fontId="3" fillId="8" borderId="47" xfId="0" applyNumberFormat="1" applyFont="1" applyFill="1" applyBorder="1" applyAlignment="1" applyProtection="1">
      <alignment horizontal="center" vertical="center"/>
      <protection locked="0"/>
    </xf>
    <xf numFmtId="4" fontId="2" fillId="8" borderId="47" xfId="0" applyNumberFormat="1" applyFont="1" applyFill="1" applyBorder="1" applyAlignment="1" applyProtection="1">
      <alignment horizontal="center" vertical="center"/>
      <protection locked="0"/>
    </xf>
    <xf numFmtId="4" fontId="3" fillId="8" borderId="77" xfId="0" applyNumberFormat="1" applyFont="1" applyFill="1" applyBorder="1" applyAlignment="1" applyProtection="1">
      <alignment horizontal="center" vertical="center"/>
      <protection locked="0"/>
    </xf>
    <xf numFmtId="4" fontId="2" fillId="8" borderId="77" xfId="0" applyNumberFormat="1" applyFont="1" applyFill="1" applyBorder="1" applyAlignment="1" applyProtection="1">
      <alignment horizontal="center" vertical="center"/>
      <protection locked="0"/>
    </xf>
    <xf numFmtId="4" fontId="3" fillId="8" borderId="48" xfId="0" applyNumberFormat="1" applyFont="1" applyFill="1" applyBorder="1" applyAlignment="1" applyProtection="1">
      <alignment horizontal="center" vertical="center"/>
      <protection locked="0"/>
    </xf>
    <xf numFmtId="4" fontId="2" fillId="8" borderId="48" xfId="0" applyNumberFormat="1" applyFont="1" applyFill="1" applyBorder="1" applyAlignment="1" applyProtection="1">
      <alignment horizontal="center" vertical="center"/>
      <protection locked="0"/>
    </xf>
    <xf numFmtId="0" fontId="2" fillId="8" borderId="50" xfId="0" applyFont="1" applyFill="1" applyBorder="1" applyAlignment="1">
      <alignment horizontal="left" vertical="center"/>
    </xf>
    <xf numFmtId="4" fontId="2" fillId="8" borderId="84" xfId="0" applyNumberFormat="1" applyFont="1" applyFill="1" applyBorder="1" applyAlignment="1" applyProtection="1">
      <alignment horizontal="right" vertical="center"/>
      <protection locked="0"/>
    </xf>
    <xf numFmtId="4" fontId="2" fillId="8" borderId="91" xfId="0" applyNumberFormat="1" applyFont="1" applyFill="1" applyBorder="1" applyAlignment="1" applyProtection="1">
      <alignment horizontal="right" vertical="center"/>
      <protection locked="0"/>
    </xf>
    <xf numFmtId="4" fontId="2" fillId="8" borderId="33" xfId="0" applyNumberFormat="1" applyFont="1" applyFill="1" applyBorder="1" applyAlignment="1" applyProtection="1">
      <alignment horizontal="right" vertical="center"/>
      <protection locked="0"/>
    </xf>
    <xf numFmtId="4" fontId="2" fillId="8" borderId="85" xfId="0" applyNumberFormat="1" applyFont="1" applyFill="1" applyBorder="1" applyAlignment="1" applyProtection="1">
      <alignment horizontal="right" vertical="center"/>
      <protection locked="0"/>
    </xf>
    <xf numFmtId="4" fontId="2" fillId="8" borderId="34" xfId="0" applyNumberFormat="1" applyFont="1" applyFill="1" applyBorder="1" applyAlignment="1" applyProtection="1">
      <alignment horizontal="right" vertical="center"/>
      <protection locked="0"/>
    </xf>
    <xf numFmtId="4" fontId="2" fillId="8" borderId="88" xfId="0" applyNumberFormat="1" applyFont="1" applyFill="1" applyBorder="1" applyAlignment="1" applyProtection="1">
      <alignment horizontal="right" vertical="center"/>
      <protection locked="0"/>
    </xf>
    <xf numFmtId="4" fontId="2" fillId="8" borderId="46" xfId="0" applyNumberFormat="1" applyFont="1" applyFill="1" applyBorder="1" applyAlignment="1" applyProtection="1">
      <alignment horizontal="right" vertical="center"/>
      <protection locked="0"/>
    </xf>
    <xf numFmtId="0" fontId="3" fillId="14" borderId="31" xfId="0" applyFont="1" applyFill="1" applyBorder="1" applyAlignment="1">
      <alignment horizontal="center"/>
    </xf>
    <xf numFmtId="0" fontId="2" fillId="8" borderId="16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4" fontId="2" fillId="8" borderId="33" xfId="0" applyNumberFormat="1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36" fillId="8" borderId="0" xfId="0" applyFont="1" applyFill="1" applyAlignment="1">
      <alignment vertical="center"/>
    </xf>
    <xf numFmtId="0" fontId="2" fillId="8" borderId="34" xfId="0" applyFont="1" applyFill="1" applyBorder="1" applyAlignment="1">
      <alignment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vertical="center"/>
    </xf>
    <xf numFmtId="0" fontId="2" fillId="14" borderId="34" xfId="0" applyFont="1" applyFill="1" applyBorder="1" applyAlignment="1">
      <alignment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vertical="center"/>
    </xf>
    <xf numFmtId="0" fontId="2" fillId="8" borderId="34" xfId="0" applyFont="1" applyFill="1" applyBorder="1" applyAlignment="1">
      <alignment vertical="center"/>
    </xf>
    <xf numFmtId="0" fontId="2" fillId="14" borderId="34" xfId="0" applyFont="1" applyFill="1" applyBorder="1" applyAlignment="1">
      <alignment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vertical="center"/>
    </xf>
    <xf numFmtId="0" fontId="2" fillId="8" borderId="46" xfId="0" applyFont="1" applyFill="1" applyBorder="1" applyAlignment="1">
      <alignment vertical="center"/>
    </xf>
    <xf numFmtId="0" fontId="2" fillId="14" borderId="46" xfId="0" applyFont="1" applyFill="1" applyBorder="1" applyAlignment="1">
      <alignment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vertical="center"/>
    </xf>
    <xf numFmtId="0" fontId="2" fillId="14" borderId="54" xfId="0" applyFont="1" applyFill="1" applyBorder="1" applyAlignment="1">
      <alignment vertical="center"/>
    </xf>
    <xf numFmtId="0" fontId="2" fillId="8" borderId="54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vertical="center"/>
    </xf>
    <xf numFmtId="0" fontId="2" fillId="8" borderId="13" xfId="0" applyFont="1" applyFill="1" applyBorder="1" applyAlignment="1">
      <alignment/>
    </xf>
    <xf numFmtId="0" fontId="26" fillId="8" borderId="28" xfId="0" applyFont="1" applyFill="1" applyBorder="1" applyAlignment="1" applyProtection="1">
      <alignment horizontal="left" vertical="center"/>
      <protection locked="0"/>
    </xf>
    <xf numFmtId="4" fontId="26" fillId="8" borderId="28" xfId="0" applyNumberFormat="1" applyFont="1" applyFill="1" applyBorder="1" applyAlignment="1" applyProtection="1">
      <alignment horizontal="left" vertical="center"/>
      <protection locked="0"/>
    </xf>
    <xf numFmtId="4" fontId="5" fillId="8" borderId="28" xfId="0" applyNumberFormat="1" applyFont="1" applyFill="1" applyBorder="1" applyAlignment="1" applyProtection="1">
      <alignment horizontal="left" vertical="center"/>
      <protection locked="0"/>
    </xf>
    <xf numFmtId="0" fontId="26" fillId="8" borderId="27" xfId="0" applyFont="1" applyFill="1" applyBorder="1" applyAlignment="1" applyProtection="1">
      <alignment horizontal="left" vertical="center"/>
      <protection locked="0"/>
    </xf>
    <xf numFmtId="4" fontId="26" fillId="8" borderId="27" xfId="0" applyNumberFormat="1" applyFont="1" applyFill="1" applyBorder="1" applyAlignment="1" applyProtection="1">
      <alignment horizontal="left" vertical="center"/>
      <protection locked="0"/>
    </xf>
    <xf numFmtId="4" fontId="5" fillId="8" borderId="27" xfId="0" applyNumberFormat="1" applyFont="1" applyFill="1" applyBorder="1" applyAlignment="1" applyProtection="1">
      <alignment horizontal="left" vertical="center"/>
      <protection locked="0"/>
    </xf>
    <xf numFmtId="4" fontId="2" fillId="8" borderId="66" xfId="0" applyNumberFormat="1" applyFont="1" applyFill="1" applyBorder="1" applyAlignment="1" applyProtection="1">
      <alignment vertical="center"/>
      <protection locked="0"/>
    </xf>
    <xf numFmtId="4" fontId="2" fillId="8" borderId="52" xfId="0" applyNumberFormat="1" applyFont="1" applyFill="1" applyBorder="1" applyAlignment="1" applyProtection="1">
      <alignment vertical="center"/>
      <protection locked="0"/>
    </xf>
    <xf numFmtId="4" fontId="2" fillId="8" borderId="47" xfId="0" applyNumberFormat="1" applyFont="1" applyFill="1" applyBorder="1" applyAlignment="1" applyProtection="1">
      <alignment vertical="center"/>
      <protection locked="0"/>
    </xf>
    <xf numFmtId="4" fontId="2" fillId="8" borderId="77" xfId="0" applyNumberFormat="1" applyFont="1" applyFill="1" applyBorder="1" applyAlignment="1" applyProtection="1">
      <alignment vertical="center"/>
      <protection locked="0"/>
    </xf>
    <xf numFmtId="4" fontId="2" fillId="8" borderId="48" xfId="0" applyNumberFormat="1" applyFont="1" applyFill="1" applyBorder="1" applyAlignment="1" applyProtection="1">
      <alignment vertical="center"/>
      <protection locked="0"/>
    </xf>
    <xf numFmtId="0" fontId="5" fillId="8" borderId="0" xfId="0" applyFont="1" applyFill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22" fillId="14" borderId="56" xfId="89" applyFont="1" applyFill="1" applyBorder="1" applyAlignment="1">
      <alignment horizontal="center" vertical="center" wrapText="1"/>
      <protection/>
    </xf>
    <xf numFmtId="0" fontId="22" fillId="14" borderId="54" xfId="89" applyFont="1" applyFill="1" applyBorder="1" applyAlignment="1">
      <alignment horizontal="center" vertical="center" wrapText="1"/>
      <protection/>
    </xf>
    <xf numFmtId="0" fontId="7" fillId="8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2" fillId="14" borderId="32" xfId="89" applyFont="1" applyFill="1" applyBorder="1" applyAlignment="1">
      <alignment horizontal="center" vertical="center" wrapText="1"/>
      <protection/>
    </xf>
    <xf numFmtId="0" fontId="2" fillId="8" borderId="17" xfId="0" applyFont="1" applyFill="1" applyBorder="1" applyAlignment="1">
      <alignment horizontal="center" vertical="center"/>
    </xf>
    <xf numFmtId="0" fontId="2" fillId="8" borderId="0" xfId="0" applyFont="1" applyFill="1" applyBorder="1" applyAlignment="1" applyProtection="1">
      <alignment/>
      <protection locked="0"/>
    </xf>
    <xf numFmtId="0" fontId="13" fillId="8" borderId="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2" fillId="8" borderId="0" xfId="0" applyFont="1" applyFill="1" applyAlignment="1">
      <alignment vertical="center"/>
    </xf>
    <xf numFmtId="0" fontId="2" fillId="8" borderId="16" xfId="0" applyFont="1" applyFill="1" applyBorder="1" applyAlignment="1">
      <alignment vertical="center"/>
    </xf>
    <xf numFmtId="0" fontId="2" fillId="8" borderId="34" xfId="0" applyFont="1" applyFill="1" applyBorder="1" applyAlignment="1">
      <alignment vertical="center"/>
    </xf>
    <xf numFmtId="0" fontId="2" fillId="14" borderId="34" xfId="0" applyFont="1" applyFill="1" applyBorder="1" applyAlignment="1">
      <alignment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vertical="center"/>
    </xf>
    <xf numFmtId="4" fontId="2" fillId="8" borderId="50" xfId="0" applyNumberFormat="1" applyFont="1" applyFill="1" applyBorder="1" applyAlignment="1" applyProtection="1">
      <alignment vertical="center"/>
      <protection locked="0"/>
    </xf>
    <xf numFmtId="4" fontId="2" fillId="8" borderId="39" xfId="0" applyNumberFormat="1" applyFont="1" applyFill="1" applyBorder="1" applyAlignment="1" applyProtection="1">
      <alignment vertical="center"/>
      <protection locked="0"/>
    </xf>
    <xf numFmtId="4" fontId="2" fillId="8" borderId="76" xfId="0" applyNumberFormat="1" applyFont="1" applyFill="1" applyBorder="1" applyAlignment="1" applyProtection="1">
      <alignment vertical="center"/>
      <protection locked="0"/>
    </xf>
    <xf numFmtId="4" fontId="2" fillId="8" borderId="41" xfId="0" applyNumberFormat="1" applyFont="1" applyFill="1" applyBorder="1" applyAlignment="1" applyProtection="1">
      <alignment vertical="center"/>
      <protection locked="0"/>
    </xf>
    <xf numFmtId="4" fontId="2" fillId="8" borderId="0" xfId="0" applyNumberFormat="1" applyFont="1" applyFill="1" applyBorder="1" applyAlignment="1" applyProtection="1">
      <alignment horizontal="center" vertical="center"/>
      <protection locked="0"/>
    </xf>
    <xf numFmtId="4" fontId="2" fillId="8" borderId="53" xfId="0" applyNumberFormat="1" applyFont="1" applyFill="1" applyBorder="1" applyAlignment="1" applyProtection="1">
      <alignment vertical="center"/>
      <protection locked="0"/>
    </xf>
    <xf numFmtId="0" fontId="22" fillId="14" borderId="102" xfId="89" applyFont="1" applyFill="1" applyBorder="1" applyAlignment="1">
      <alignment horizontal="center" vertical="center" wrapText="1"/>
      <protection/>
    </xf>
    <xf numFmtId="4" fontId="2" fillId="8" borderId="103" xfId="0" applyNumberFormat="1" applyFont="1" applyFill="1" applyBorder="1" applyAlignment="1" applyProtection="1">
      <alignment vertical="center"/>
      <protection locked="0"/>
    </xf>
    <xf numFmtId="4" fontId="2" fillId="8" borderId="104" xfId="0" applyNumberFormat="1" applyFont="1" applyFill="1" applyBorder="1" applyAlignment="1" applyProtection="1">
      <alignment vertical="center"/>
      <protection locked="0"/>
    </xf>
    <xf numFmtId="4" fontId="2" fillId="8" borderId="105" xfId="0" applyNumberFormat="1" applyFont="1" applyFill="1" applyBorder="1" applyAlignment="1" applyProtection="1">
      <alignment vertical="center"/>
      <protection locked="0"/>
    </xf>
    <xf numFmtId="4" fontId="2" fillId="8" borderId="106" xfId="0" applyNumberFormat="1" applyFont="1" applyFill="1" applyBorder="1" applyAlignment="1" applyProtection="1">
      <alignment vertical="center"/>
      <protection locked="0"/>
    </xf>
    <xf numFmtId="4" fontId="2" fillId="8" borderId="107" xfId="0" applyNumberFormat="1" applyFont="1" applyFill="1" applyBorder="1" applyAlignment="1" applyProtection="1">
      <alignment vertical="center"/>
      <protection locked="0"/>
    </xf>
    <xf numFmtId="0" fontId="22" fillId="14" borderId="108" xfId="89" applyFont="1" applyFill="1" applyBorder="1" applyAlignment="1">
      <alignment horizontal="center" vertical="center" wrapText="1"/>
      <protection/>
    </xf>
    <xf numFmtId="4" fontId="3" fillId="8" borderId="108" xfId="0" applyNumberFormat="1" applyFont="1" applyFill="1" applyBorder="1" applyAlignment="1" applyProtection="1">
      <alignment vertical="center"/>
      <protection locked="0"/>
    </xf>
    <xf numFmtId="4" fontId="2" fillId="8" borderId="109" xfId="0" applyNumberFormat="1" applyFont="1" applyFill="1" applyBorder="1" applyAlignment="1" applyProtection="1">
      <alignment vertical="center"/>
      <protection locked="0"/>
    </xf>
    <xf numFmtId="4" fontId="2" fillId="8" borderId="110" xfId="0" applyNumberFormat="1" applyFont="1" applyFill="1" applyBorder="1" applyAlignment="1" applyProtection="1">
      <alignment vertical="center"/>
      <protection locked="0"/>
    </xf>
    <xf numFmtId="4" fontId="2" fillId="8" borderId="111" xfId="0" applyNumberFormat="1" applyFont="1" applyFill="1" applyBorder="1" applyAlignment="1" applyProtection="1">
      <alignment vertical="center"/>
      <protection locked="0"/>
    </xf>
    <xf numFmtId="4" fontId="2" fillId="8" borderId="112" xfId="0" applyNumberFormat="1" applyFont="1" applyFill="1" applyBorder="1" applyAlignment="1" applyProtection="1">
      <alignment vertical="center"/>
      <protection locked="0"/>
    </xf>
    <xf numFmtId="4" fontId="2" fillId="8" borderId="113" xfId="0" applyNumberFormat="1" applyFont="1" applyFill="1" applyBorder="1" applyAlignment="1" applyProtection="1">
      <alignment vertical="center"/>
      <protection locked="0"/>
    </xf>
    <xf numFmtId="4" fontId="2" fillId="8" borderId="108" xfId="0" applyNumberFormat="1" applyFont="1" applyFill="1" applyBorder="1" applyAlignment="1" applyProtection="1">
      <alignment vertical="center"/>
      <protection locked="0"/>
    </xf>
    <xf numFmtId="4" fontId="2" fillId="8" borderId="114" xfId="0" applyNumberFormat="1" applyFont="1" applyFill="1" applyBorder="1" applyAlignment="1" applyProtection="1">
      <alignment vertical="center"/>
      <protection locked="0"/>
    </xf>
    <xf numFmtId="4" fontId="2" fillId="8" borderId="115" xfId="0" applyNumberFormat="1" applyFont="1" applyFill="1" applyBorder="1" applyAlignment="1" applyProtection="1">
      <alignment vertical="center"/>
      <protection locked="0"/>
    </xf>
    <xf numFmtId="4" fontId="2" fillId="8" borderId="116" xfId="0" applyNumberFormat="1" applyFont="1" applyFill="1" applyBorder="1" applyAlignment="1" applyProtection="1">
      <alignment vertical="center"/>
      <protection locked="0"/>
    </xf>
    <xf numFmtId="4" fontId="2" fillId="8" borderId="117" xfId="0" applyNumberFormat="1" applyFont="1" applyFill="1" applyBorder="1" applyAlignment="1" applyProtection="1">
      <alignment vertical="center"/>
      <protection locked="0"/>
    </xf>
    <xf numFmtId="4" fontId="2" fillId="8" borderId="118" xfId="0" applyNumberFormat="1" applyFont="1" applyFill="1" applyBorder="1" applyAlignment="1" applyProtection="1">
      <alignment vertical="center"/>
      <protection locked="0"/>
    </xf>
    <xf numFmtId="4" fontId="43" fillId="14" borderId="119" xfId="0" applyNumberFormat="1" applyFont="1" applyFill="1" applyBorder="1" applyAlignment="1" applyProtection="1">
      <alignment vertical="center"/>
      <protection/>
    </xf>
    <xf numFmtId="4" fontId="43" fillId="14" borderId="120" xfId="0" applyNumberFormat="1" applyFont="1" applyFill="1" applyBorder="1" applyAlignment="1" applyProtection="1">
      <alignment vertical="center"/>
      <protection/>
    </xf>
    <xf numFmtId="4" fontId="43" fillId="14" borderId="45" xfId="0" applyNumberFormat="1" applyFont="1" applyFill="1" applyBorder="1" applyAlignment="1" applyProtection="1">
      <alignment vertical="center"/>
      <protection/>
    </xf>
    <xf numFmtId="0" fontId="22" fillId="14" borderId="36" xfId="89" applyFont="1" applyFill="1" applyBorder="1" applyAlignment="1">
      <alignment horizontal="center" vertical="center" wrapText="1"/>
      <protection/>
    </xf>
    <xf numFmtId="0" fontId="22" fillId="14" borderId="121" xfId="89" applyFont="1" applyFill="1" applyBorder="1" applyAlignment="1">
      <alignment horizontal="center" vertical="center" wrapText="1"/>
      <protection/>
    </xf>
    <xf numFmtId="0" fontId="22" fillId="14" borderId="63" xfId="89" applyFont="1" applyFill="1" applyBorder="1" applyAlignment="1">
      <alignment horizontal="center" vertical="center" wrapText="1"/>
      <protection/>
    </xf>
    <xf numFmtId="4" fontId="9" fillId="8" borderId="52" xfId="0" applyNumberFormat="1" applyFont="1" applyFill="1" applyBorder="1" applyAlignment="1" applyProtection="1">
      <alignment horizontal="right" vertical="center"/>
      <protection locked="0"/>
    </xf>
    <xf numFmtId="4" fontId="8" fillId="8" borderId="52" xfId="0" applyNumberFormat="1" applyFont="1" applyFill="1" applyBorder="1" applyAlignment="1" applyProtection="1">
      <alignment horizontal="right" vertical="center"/>
      <protection locked="0"/>
    </xf>
    <xf numFmtId="4" fontId="3" fillId="8" borderId="52" xfId="0" applyNumberFormat="1" applyFont="1" applyFill="1" applyBorder="1" applyAlignment="1" applyProtection="1">
      <alignment horizontal="right" vertical="center"/>
      <protection locked="0"/>
    </xf>
    <xf numFmtId="4" fontId="3" fillId="0" borderId="33" xfId="0" applyNumberFormat="1" applyFont="1" applyFill="1" applyBorder="1" applyAlignment="1" applyProtection="1">
      <alignment vertical="center"/>
      <protection locked="0"/>
    </xf>
    <xf numFmtId="4" fontId="8" fillId="7" borderId="52" xfId="0" applyNumberFormat="1" applyFont="1" applyFill="1" applyBorder="1" applyAlignment="1" applyProtection="1">
      <alignment horizontal="right" vertical="center"/>
      <protection locked="0"/>
    </xf>
    <xf numFmtId="14" fontId="2" fillId="8" borderId="51" xfId="0" applyNumberFormat="1" applyFont="1" applyFill="1" applyBorder="1" applyAlignment="1" applyProtection="1">
      <alignment horizontal="center" vertical="center"/>
      <protection locked="0"/>
    </xf>
    <xf numFmtId="0" fontId="2" fillId="8" borderId="28" xfId="0" applyFont="1" applyFill="1" applyBorder="1" applyAlignment="1" applyProtection="1">
      <alignment horizontal="left" vertical="center"/>
      <protection locked="0"/>
    </xf>
    <xf numFmtId="0" fontId="2" fillId="8" borderId="54" xfId="0" applyFont="1" applyFill="1" applyBorder="1" applyAlignment="1">
      <alignment vertical="center"/>
    </xf>
    <xf numFmtId="0" fontId="2" fillId="8" borderId="0" xfId="0" applyFont="1" applyFill="1" applyBorder="1" applyAlignment="1" applyProtection="1">
      <alignment horizontal="center" vertical="center"/>
      <protection/>
    </xf>
    <xf numFmtId="0" fontId="2" fillId="8" borderId="0" xfId="0" applyFont="1" applyFill="1" applyAlignment="1">
      <alignment/>
    </xf>
    <xf numFmtId="0" fontId="40" fillId="8" borderId="0" xfId="0" applyFont="1" applyFill="1" applyBorder="1" applyAlignment="1">
      <alignment vertical="center"/>
    </xf>
    <xf numFmtId="0" fontId="2" fillId="8" borderId="0" xfId="0" applyFont="1" applyFill="1" applyAlignment="1" applyProtection="1">
      <alignment/>
      <protection/>
    </xf>
    <xf numFmtId="0" fontId="37" fillId="8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8" borderId="0" xfId="0" applyFont="1" applyFill="1" applyAlignment="1" applyProtection="1">
      <alignment vertical="center"/>
      <protection/>
    </xf>
    <xf numFmtId="0" fontId="37" fillId="8" borderId="0" xfId="0" applyFont="1" applyFill="1" applyAlignment="1" applyProtection="1">
      <alignment vertical="center"/>
      <protection/>
    </xf>
    <xf numFmtId="0" fontId="36" fillId="8" borderId="0" xfId="0" applyFont="1" applyFill="1" applyAlignment="1" applyProtection="1">
      <alignment vertical="center"/>
      <protection/>
    </xf>
    <xf numFmtId="0" fontId="36" fillId="8" borderId="0" xfId="0" applyFont="1" applyFill="1" applyAlignment="1" applyProtection="1">
      <alignment/>
      <protection/>
    </xf>
    <xf numFmtId="0" fontId="22" fillId="8" borderId="0" xfId="89" applyFont="1" applyFill="1" applyBorder="1" applyAlignment="1" applyProtection="1">
      <alignment horizontal="center" wrapText="1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0" fontId="9" fillId="8" borderId="0" xfId="0" applyFont="1" applyFill="1" applyBorder="1" applyAlignment="1" applyProtection="1">
      <alignment horizontal="lef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3" fillId="8" borderId="43" xfId="0" applyFont="1" applyFill="1" applyBorder="1" applyAlignment="1" applyProtection="1">
      <alignment horizontal="left" vertical="center"/>
      <protection/>
    </xf>
    <xf numFmtId="0" fontId="3" fillId="8" borderId="29" xfId="0" applyFont="1" applyFill="1" applyBorder="1" applyAlignment="1" applyProtection="1">
      <alignment horizontal="left" vertical="center"/>
      <protection/>
    </xf>
    <xf numFmtId="4" fontId="3" fillId="8" borderId="43" xfId="0" applyNumberFormat="1" applyFont="1" applyFill="1" applyBorder="1" applyAlignment="1" applyProtection="1">
      <alignment vertical="center"/>
      <protection/>
    </xf>
    <xf numFmtId="4" fontId="3" fillId="0" borderId="120" xfId="0" applyNumberFormat="1" applyFont="1" applyFill="1" applyBorder="1" applyAlignment="1" applyProtection="1">
      <alignment vertical="center"/>
      <protection/>
    </xf>
    <xf numFmtId="4" fontId="3" fillId="8" borderId="122" xfId="0" applyNumberFormat="1" applyFont="1" applyFill="1" applyBorder="1" applyAlignment="1" applyProtection="1">
      <alignment vertical="center"/>
      <protection/>
    </xf>
    <xf numFmtId="4" fontId="3" fillId="8" borderId="45" xfId="0" applyNumberFormat="1" applyFont="1" applyFill="1" applyBorder="1" applyAlignment="1" applyProtection="1">
      <alignment horizontal="center" vertical="center"/>
      <protection/>
    </xf>
    <xf numFmtId="4" fontId="3" fillId="8" borderId="30" xfId="0" applyNumberFormat="1" applyFont="1" applyFill="1" applyBorder="1" applyAlignment="1" applyProtection="1">
      <alignment horizontal="center" vertical="center"/>
      <protection/>
    </xf>
    <xf numFmtId="0" fontId="3" fillId="8" borderId="0" xfId="0" applyFont="1" applyFill="1" applyBorder="1" applyAlignment="1" applyProtection="1">
      <alignment/>
      <protection/>
    </xf>
    <xf numFmtId="4" fontId="7" fillId="8" borderId="0" xfId="0" applyNumberFormat="1" applyFont="1" applyFill="1" applyBorder="1" applyAlignment="1" applyProtection="1">
      <alignment horizontal="left" vertical="center"/>
      <protection/>
    </xf>
    <xf numFmtId="4" fontId="3" fillId="8" borderId="0" xfId="0" applyNumberFormat="1" applyFont="1" applyFill="1" applyBorder="1" applyAlignment="1" applyProtection="1">
      <alignment vertical="center"/>
      <protection/>
    </xf>
    <xf numFmtId="0" fontId="2" fillId="8" borderId="38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8" borderId="17" xfId="0" applyFont="1" applyFill="1" applyBorder="1" applyAlignment="1" applyProtection="1">
      <alignment horizontal="left"/>
      <protection/>
    </xf>
    <xf numFmtId="0" fontId="5" fillId="8" borderId="0" xfId="0" applyFont="1" applyFill="1" applyBorder="1" applyAlignment="1" applyProtection="1">
      <alignment vertical="center"/>
      <protection/>
    </xf>
    <xf numFmtId="0" fontId="3" fillId="14" borderId="56" xfId="0" applyFont="1" applyFill="1" applyBorder="1" applyAlignment="1" applyProtection="1">
      <alignment horizontal="center" vertical="center"/>
      <protection/>
    </xf>
    <xf numFmtId="0" fontId="3" fillId="14" borderId="62" xfId="0" applyFont="1" applyFill="1" applyBorder="1" applyAlignment="1" applyProtection="1">
      <alignment horizontal="center" vertical="center"/>
      <protection/>
    </xf>
    <xf numFmtId="0" fontId="8" fillId="14" borderId="56" xfId="0" applyFont="1" applyFill="1" applyBorder="1" applyAlignment="1" applyProtection="1">
      <alignment horizontal="center" vertical="center"/>
      <protection/>
    </xf>
    <xf numFmtId="0" fontId="3" fillId="14" borderId="56" xfId="0" applyFont="1" applyFill="1" applyBorder="1" applyAlignment="1" applyProtection="1">
      <alignment horizontal="center" vertical="center" wrapText="1"/>
      <protection/>
    </xf>
    <xf numFmtId="0" fontId="3" fillId="14" borderId="32" xfId="0" applyFont="1" applyFill="1" applyBorder="1" applyAlignment="1" applyProtection="1">
      <alignment horizontal="center" vertical="center"/>
      <protection/>
    </xf>
    <xf numFmtId="0" fontId="3" fillId="14" borderId="25" xfId="0" applyFont="1" applyFill="1" applyBorder="1" applyAlignment="1" applyProtection="1">
      <alignment horizontal="center" vertical="center"/>
      <protection/>
    </xf>
    <xf numFmtId="0" fontId="3" fillId="14" borderId="88" xfId="0" applyFont="1" applyFill="1" applyBorder="1" applyAlignment="1" applyProtection="1">
      <alignment horizontal="center" vertical="center"/>
      <protection/>
    </xf>
    <xf numFmtId="0" fontId="3" fillId="14" borderId="48" xfId="0" applyFont="1" applyFill="1" applyBorder="1" applyAlignment="1" applyProtection="1">
      <alignment horizontal="center" vertical="center"/>
      <protection/>
    </xf>
    <xf numFmtId="4" fontId="3" fillId="14" borderId="51" xfId="0" applyNumberFormat="1" applyFont="1" applyFill="1" applyBorder="1" applyAlignment="1" applyProtection="1">
      <alignment horizontal="right" vertical="center"/>
      <protection/>
    </xf>
    <xf numFmtId="4" fontId="3" fillId="14" borderId="34" xfId="0" applyNumberFormat="1" applyFont="1" applyFill="1" applyBorder="1" applyAlignment="1" applyProtection="1">
      <alignment horizontal="right" vertical="center"/>
      <protection/>
    </xf>
    <xf numFmtId="4" fontId="3" fillId="14" borderId="46" xfId="0" applyNumberFormat="1" applyFont="1" applyFill="1" applyBorder="1" applyAlignment="1" applyProtection="1">
      <alignment horizontal="right" vertical="center"/>
      <protection/>
    </xf>
    <xf numFmtId="4" fontId="3" fillId="8" borderId="71" xfId="0" applyNumberFormat="1" applyFont="1" applyFill="1" applyBorder="1" applyAlignment="1" applyProtection="1">
      <alignment vertical="center"/>
      <protection/>
    </xf>
    <xf numFmtId="4" fontId="3" fillId="8" borderId="65" xfId="0" applyNumberFormat="1" applyFont="1" applyFill="1" applyBorder="1" applyAlignment="1" applyProtection="1">
      <alignment vertical="center"/>
      <protection/>
    </xf>
    <xf numFmtId="4" fontId="3" fillId="8" borderId="70" xfId="0" applyNumberFormat="1" applyFont="1" applyFill="1" applyBorder="1" applyAlignment="1" applyProtection="1">
      <alignment vertical="center"/>
      <protection/>
    </xf>
    <xf numFmtId="4" fontId="3" fillId="14" borderId="65" xfId="0" applyNumberFormat="1" applyFont="1" applyFill="1" applyBorder="1" applyAlignment="1" applyProtection="1">
      <alignment vertical="center"/>
      <protection/>
    </xf>
    <xf numFmtId="4" fontId="10" fillId="0" borderId="16" xfId="0" applyNumberFormat="1" applyFont="1" applyFill="1" applyBorder="1" applyAlignment="1" applyProtection="1">
      <alignment horizontal="left"/>
      <protection/>
    </xf>
    <xf numFmtId="0" fontId="3" fillId="8" borderId="0" xfId="0" applyFont="1" applyFill="1" applyBorder="1" applyAlignment="1" applyProtection="1">
      <alignment horizontal="center" vertical="center"/>
      <protection/>
    </xf>
    <xf numFmtId="4" fontId="3" fillId="14" borderId="33" xfId="0" applyNumberFormat="1" applyFont="1" applyFill="1" applyBorder="1" applyAlignment="1" applyProtection="1">
      <alignment horizontal="right" vertical="center"/>
      <protection/>
    </xf>
    <xf numFmtId="0" fontId="10" fillId="8" borderId="16" xfId="0" applyFont="1" applyFill="1" applyBorder="1" applyAlignment="1" applyProtection="1">
      <alignment horizontal="left" vertical="center"/>
      <protection/>
    </xf>
    <xf numFmtId="0" fontId="10" fillId="8" borderId="0" xfId="0" applyFont="1" applyFill="1" applyBorder="1" applyAlignment="1" applyProtection="1">
      <alignment horizontal="left" vertical="center"/>
      <protection/>
    </xf>
    <xf numFmtId="4" fontId="13" fillId="8" borderId="0" xfId="0" applyNumberFormat="1" applyFont="1" applyFill="1" applyBorder="1" applyAlignment="1" applyProtection="1">
      <alignment vertical="center"/>
      <protection/>
    </xf>
    <xf numFmtId="4" fontId="13" fillId="8" borderId="0" xfId="0" applyNumberFormat="1" applyFont="1" applyFill="1" applyBorder="1" applyAlignment="1" applyProtection="1">
      <alignment horizontal="left" vertical="center"/>
      <protection/>
    </xf>
    <xf numFmtId="0" fontId="10" fillId="8" borderId="17" xfId="0" applyFont="1" applyFill="1" applyBorder="1" applyAlignment="1" applyProtection="1">
      <alignment horizontal="left" vertical="center"/>
      <protection/>
    </xf>
    <xf numFmtId="0" fontId="10" fillId="8" borderId="0" xfId="0" applyFont="1" applyFill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0" fillId="8" borderId="0" xfId="0" applyFont="1" applyFill="1" applyBorder="1" applyAlignment="1" applyProtection="1" quotePrefix="1">
      <alignment horizontal="left" vertical="center"/>
      <protection/>
    </xf>
    <xf numFmtId="0" fontId="10" fillId="8" borderId="0" xfId="0" applyFont="1" applyFill="1" applyAlignment="1" applyProtection="1" quotePrefix="1">
      <alignment horizontal="left" vertical="center"/>
      <protection/>
    </xf>
    <xf numFmtId="4" fontId="10" fillId="8" borderId="0" xfId="0" applyNumberFormat="1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4" fontId="12" fillId="8" borderId="0" xfId="0" applyNumberFormat="1" applyFont="1" applyFill="1" applyAlignment="1" applyProtection="1">
      <alignment horizontal="right"/>
      <protection/>
    </xf>
    <xf numFmtId="4" fontId="2" fillId="8" borderId="51" xfId="0" applyNumberFormat="1" applyFont="1" applyFill="1" applyBorder="1" applyAlignment="1" applyProtection="1">
      <alignment horizontal="right" vertical="center"/>
      <protection locked="0"/>
    </xf>
    <xf numFmtId="4" fontId="10" fillId="8" borderId="0" xfId="0" applyNumberFormat="1" applyFont="1" applyFill="1" applyAlignment="1" applyProtection="1">
      <alignment horizontal="right"/>
      <protection/>
    </xf>
    <xf numFmtId="4" fontId="2" fillId="8" borderId="0" xfId="0" applyNumberFormat="1" applyFont="1" applyFill="1" applyBorder="1" applyAlignment="1" applyProtection="1">
      <alignment horizontal="left" vertical="center"/>
      <protection/>
    </xf>
    <xf numFmtId="4" fontId="2" fillId="8" borderId="0" xfId="0" applyNumberFormat="1" applyFont="1" applyFill="1" applyBorder="1" applyAlignment="1" applyProtection="1">
      <alignment horizontal="right" vertical="center"/>
      <protection/>
    </xf>
    <xf numFmtId="4" fontId="10" fillId="8" borderId="13" xfId="0" applyNumberFormat="1" applyFont="1" applyFill="1" applyBorder="1" applyAlignment="1" applyProtection="1">
      <alignment horizontal="left"/>
      <protection/>
    </xf>
    <xf numFmtId="4" fontId="10" fillId="8" borderId="14" xfId="0" applyNumberFormat="1" applyFont="1" applyFill="1" applyBorder="1" applyAlignment="1" applyProtection="1">
      <alignment horizontal="right"/>
      <protection/>
    </xf>
    <xf numFmtId="4" fontId="10" fillId="8" borderId="15" xfId="0" applyNumberFormat="1" applyFont="1" applyFill="1" applyBorder="1" applyAlignment="1" applyProtection="1">
      <alignment horizontal="left"/>
      <protection/>
    </xf>
    <xf numFmtId="4" fontId="10" fillId="8" borderId="16" xfId="0" applyNumberFormat="1" applyFont="1" applyFill="1" applyBorder="1" applyAlignment="1" applyProtection="1">
      <alignment horizontal="left"/>
      <protection/>
    </xf>
    <xf numFmtId="4" fontId="3" fillId="8" borderId="0" xfId="0" applyNumberFormat="1" applyFont="1" applyFill="1" applyBorder="1" applyAlignment="1" applyProtection="1">
      <alignment horizontal="left"/>
      <protection/>
    </xf>
    <xf numFmtId="4" fontId="10" fillId="8" borderId="0" xfId="0" applyNumberFormat="1" applyFont="1" applyFill="1" applyBorder="1" applyAlignment="1" applyProtection="1">
      <alignment horizontal="right"/>
      <protection/>
    </xf>
    <xf numFmtId="4" fontId="10" fillId="8" borderId="17" xfId="0" applyNumberFormat="1" applyFont="1" applyFill="1" applyBorder="1" applyAlignment="1" applyProtection="1">
      <alignment horizontal="left"/>
      <protection/>
    </xf>
    <xf numFmtId="4" fontId="13" fillId="8" borderId="0" xfId="0" applyNumberFormat="1" applyFont="1" applyFill="1" applyBorder="1" applyAlignment="1" applyProtection="1">
      <alignment horizontal="left"/>
      <protection/>
    </xf>
    <xf numFmtId="4" fontId="2" fillId="8" borderId="16" xfId="0" applyNumberFormat="1" applyFont="1" applyFill="1" applyBorder="1" applyAlignment="1" applyProtection="1">
      <alignment horizontal="left"/>
      <protection/>
    </xf>
    <xf numFmtId="4" fontId="3" fillId="26" borderId="0" xfId="0" applyNumberFormat="1" applyFont="1" applyFill="1" applyBorder="1" applyAlignment="1" applyProtection="1">
      <alignment horizontal="left" vertical="center"/>
      <protection/>
    </xf>
    <xf numFmtId="4" fontId="2" fillId="8" borderId="17" xfId="0" applyNumberFormat="1" applyFont="1" applyFill="1" applyBorder="1" applyAlignment="1" applyProtection="1">
      <alignment horizontal="left"/>
      <protection/>
    </xf>
    <xf numFmtId="4" fontId="2" fillId="8" borderId="0" xfId="0" applyNumberFormat="1" applyFont="1" applyFill="1" applyAlignment="1" applyProtection="1">
      <alignment horizontal="left"/>
      <protection/>
    </xf>
    <xf numFmtId="4" fontId="7" fillId="8" borderId="16" xfId="0" applyNumberFormat="1" applyFont="1" applyFill="1" applyBorder="1" applyAlignment="1" applyProtection="1">
      <alignment horizontal="left"/>
      <protection/>
    </xf>
    <xf numFmtId="4" fontId="5" fillId="10" borderId="0" xfId="0" applyNumberFormat="1" applyFont="1" applyFill="1" applyBorder="1" applyAlignment="1" applyProtection="1">
      <alignment horizontal="right" vertical="center"/>
      <protection/>
    </xf>
    <xf numFmtId="4" fontId="7" fillId="8" borderId="17" xfId="0" applyNumberFormat="1" applyFont="1" applyFill="1" applyBorder="1" applyAlignment="1" applyProtection="1">
      <alignment horizontal="left"/>
      <protection/>
    </xf>
    <xf numFmtId="4" fontId="5" fillId="8" borderId="0" xfId="0" applyNumberFormat="1" applyFont="1" applyFill="1" applyAlignment="1" applyProtection="1">
      <alignment horizontal="left" vertical="center"/>
      <protection/>
    </xf>
    <xf numFmtId="4" fontId="9" fillId="8" borderId="16" xfId="0" applyNumberFormat="1" applyFont="1" applyFill="1" applyBorder="1" applyAlignment="1" applyProtection="1">
      <alignment horizontal="left"/>
      <protection/>
    </xf>
    <xf numFmtId="4" fontId="2" fillId="8" borderId="0" xfId="0" applyNumberFormat="1" applyFont="1" applyFill="1" applyBorder="1" applyAlignment="1" applyProtection="1">
      <alignment horizontal="center" vertical="center"/>
      <protection/>
    </xf>
    <xf numFmtId="4" fontId="44" fillId="8" borderId="16" xfId="0" applyNumberFormat="1" applyFont="1" applyFill="1" applyBorder="1" applyAlignment="1" applyProtection="1">
      <alignment horizontal="left" vertical="center"/>
      <protection/>
    </xf>
    <xf numFmtId="4" fontId="5" fillId="14" borderId="61" xfId="0" applyNumberFormat="1" applyFont="1" applyFill="1" applyBorder="1" applyAlignment="1" applyProtection="1">
      <alignment horizontal="right" vertical="center"/>
      <protection/>
    </xf>
    <xf numFmtId="4" fontId="44" fillId="8" borderId="17" xfId="0" applyNumberFormat="1" applyFont="1" applyFill="1" applyBorder="1" applyAlignment="1" applyProtection="1">
      <alignment horizontal="left" vertical="center"/>
      <protection/>
    </xf>
    <xf numFmtId="4" fontId="44" fillId="8" borderId="0" xfId="0" applyNumberFormat="1" applyFont="1" applyFill="1" applyAlignment="1" applyProtection="1">
      <alignment horizontal="left" vertical="center"/>
      <protection/>
    </xf>
    <xf numFmtId="4" fontId="5" fillId="8" borderId="0" xfId="0" applyNumberFormat="1" applyFont="1" applyFill="1" applyBorder="1" applyAlignment="1" applyProtection="1">
      <alignment vertical="center"/>
      <protection/>
    </xf>
    <xf numFmtId="4" fontId="5" fillId="8" borderId="16" xfId="0" applyNumberFormat="1" applyFont="1" applyFill="1" applyBorder="1" applyAlignment="1" applyProtection="1">
      <alignment horizontal="left"/>
      <protection/>
    </xf>
    <xf numFmtId="4" fontId="5" fillId="8" borderId="53" xfId="0" applyNumberFormat="1" applyFont="1" applyFill="1" applyBorder="1" applyAlignment="1" applyProtection="1">
      <alignment horizontal="center" vertical="center"/>
      <protection/>
    </xf>
    <xf numFmtId="4" fontId="5" fillId="8" borderId="61" xfId="0" applyNumberFormat="1" applyFont="1" applyFill="1" applyBorder="1" applyAlignment="1" applyProtection="1">
      <alignment horizontal="left" vertical="center"/>
      <protection/>
    </xf>
    <xf numFmtId="4" fontId="5" fillId="8" borderId="61" xfId="0" applyNumberFormat="1" applyFont="1" applyFill="1" applyBorder="1" applyAlignment="1" applyProtection="1">
      <alignment horizontal="right" vertical="center"/>
      <protection/>
    </xf>
    <xf numFmtId="4" fontId="5" fillId="8" borderId="54" xfId="0" applyNumberFormat="1" applyFont="1" applyFill="1" applyBorder="1" applyAlignment="1" applyProtection="1">
      <alignment vertical="center"/>
      <protection/>
    </xf>
    <xf numFmtId="4" fontId="5" fillId="8" borderId="17" xfId="0" applyNumberFormat="1" applyFont="1" applyFill="1" applyBorder="1" applyAlignment="1" applyProtection="1">
      <alignment horizontal="left"/>
      <protection/>
    </xf>
    <xf numFmtId="4" fontId="5" fillId="8" borderId="0" xfId="0" applyNumberFormat="1" applyFont="1" applyFill="1" applyAlignment="1" applyProtection="1">
      <alignment horizontal="left"/>
      <protection/>
    </xf>
    <xf numFmtId="4" fontId="45" fillId="8" borderId="50" xfId="0" applyNumberFormat="1" applyFont="1" applyFill="1" applyBorder="1" applyAlignment="1" applyProtection="1">
      <alignment horizontal="center" vertical="center"/>
      <protection/>
    </xf>
    <xf numFmtId="4" fontId="46" fillId="8" borderId="52" xfId="0" applyNumberFormat="1" applyFont="1" applyFill="1" applyBorder="1" applyAlignment="1" applyProtection="1">
      <alignment horizontal="left" vertical="center"/>
      <protection/>
    </xf>
    <xf numFmtId="4" fontId="46" fillId="8" borderId="52" xfId="0" applyNumberFormat="1" applyFont="1" applyFill="1" applyBorder="1" applyAlignment="1" applyProtection="1">
      <alignment horizontal="right" vertical="center"/>
      <protection/>
    </xf>
    <xf numFmtId="4" fontId="46" fillId="14" borderId="52" xfId="0" applyNumberFormat="1" applyFont="1" applyFill="1" applyBorder="1" applyAlignment="1" applyProtection="1">
      <alignment horizontal="right" vertical="center"/>
      <protection/>
    </xf>
    <xf numFmtId="4" fontId="9" fillId="8" borderId="51" xfId="0" applyNumberFormat="1" applyFont="1" applyFill="1" applyBorder="1" applyAlignment="1" applyProtection="1">
      <alignment vertical="center"/>
      <protection/>
    </xf>
    <xf numFmtId="4" fontId="9" fillId="8" borderId="17" xfId="0" applyNumberFormat="1" applyFont="1" applyFill="1" applyBorder="1" applyAlignment="1" applyProtection="1">
      <alignment horizontal="left"/>
      <protection/>
    </xf>
    <xf numFmtId="4" fontId="9" fillId="8" borderId="0" xfId="0" applyNumberFormat="1" applyFont="1" applyFill="1" applyAlignment="1" applyProtection="1">
      <alignment horizontal="left"/>
      <protection/>
    </xf>
    <xf numFmtId="4" fontId="27" fillId="8" borderId="0" xfId="0" applyNumberFormat="1" applyFont="1" applyFill="1" applyAlignment="1" applyProtection="1">
      <alignment horizontal="left"/>
      <protection/>
    </xf>
    <xf numFmtId="4" fontId="45" fillId="8" borderId="38" xfId="0" applyNumberFormat="1" applyFont="1" applyFill="1" applyBorder="1" applyAlignment="1" applyProtection="1">
      <alignment horizontal="center" vertical="center"/>
      <protection/>
    </xf>
    <xf numFmtId="4" fontId="46" fillId="8" borderId="66" xfId="0" applyNumberFormat="1" applyFont="1" applyFill="1" applyBorder="1" applyAlignment="1" applyProtection="1">
      <alignment horizontal="left" vertical="center"/>
      <protection/>
    </xf>
    <xf numFmtId="4" fontId="46" fillId="8" borderId="66" xfId="0" applyNumberFormat="1" applyFont="1" applyFill="1" applyBorder="1" applyAlignment="1" applyProtection="1">
      <alignment horizontal="right" vertical="center"/>
      <protection/>
    </xf>
    <xf numFmtId="4" fontId="3" fillId="8" borderId="16" xfId="0" applyNumberFormat="1" applyFont="1" applyFill="1" applyBorder="1" applyAlignment="1" applyProtection="1">
      <alignment horizontal="left"/>
      <protection/>
    </xf>
    <xf numFmtId="4" fontId="3" fillId="8" borderId="17" xfId="0" applyNumberFormat="1" applyFont="1" applyFill="1" applyBorder="1" applyAlignment="1" applyProtection="1">
      <alignment horizontal="left"/>
      <protection/>
    </xf>
    <xf numFmtId="4" fontId="3" fillId="8" borderId="0" xfId="0" applyNumberFormat="1" applyFont="1" applyFill="1" applyAlignment="1" applyProtection="1">
      <alignment horizontal="left"/>
      <protection/>
    </xf>
    <xf numFmtId="4" fontId="7" fillId="8" borderId="16" xfId="0" applyNumberFormat="1" applyFont="1" applyFill="1" applyBorder="1" applyAlignment="1" applyProtection="1">
      <alignment vertical="center"/>
      <protection/>
    </xf>
    <xf numFmtId="4" fontId="5" fillId="14" borderId="61" xfId="0" applyNumberFormat="1" applyFont="1" applyFill="1" applyBorder="1" applyAlignment="1" applyProtection="1">
      <alignment vertical="center"/>
      <protection/>
    </xf>
    <xf numFmtId="4" fontId="7" fillId="8" borderId="17" xfId="0" applyNumberFormat="1" applyFont="1" applyFill="1" applyBorder="1" applyAlignment="1" applyProtection="1">
      <alignment vertical="center"/>
      <protection/>
    </xf>
    <xf numFmtId="4" fontId="7" fillId="8" borderId="0" xfId="0" applyNumberFormat="1" applyFont="1" applyFill="1" applyAlignment="1" applyProtection="1">
      <alignment vertical="center"/>
      <protection/>
    </xf>
    <xf numFmtId="4" fontId="3" fillId="8" borderId="0" xfId="0" applyNumberFormat="1" applyFont="1" applyFill="1" applyBorder="1" applyAlignment="1" applyProtection="1">
      <alignment horizontal="left" vertical="center"/>
      <protection/>
    </xf>
    <xf numFmtId="4" fontId="47" fillId="8" borderId="52" xfId="0" applyNumberFormat="1" applyFont="1" applyFill="1" applyBorder="1" applyAlignment="1" applyProtection="1">
      <alignment horizontal="left" vertical="center"/>
      <protection/>
    </xf>
    <xf numFmtId="4" fontId="9" fillId="8" borderId="52" xfId="0" applyNumberFormat="1" applyFont="1" applyFill="1" applyBorder="1" applyAlignment="1" applyProtection="1">
      <alignment horizontal="right" vertical="center"/>
      <protection/>
    </xf>
    <xf numFmtId="4" fontId="54" fillId="8" borderId="0" xfId="0" applyNumberFormat="1" applyFont="1" applyFill="1" applyAlignment="1" applyProtection="1">
      <alignment horizontal="left"/>
      <protection/>
    </xf>
    <xf numFmtId="4" fontId="8" fillId="8" borderId="16" xfId="0" applyNumberFormat="1" applyFont="1" applyFill="1" applyBorder="1" applyAlignment="1" applyProtection="1">
      <alignment horizontal="left"/>
      <protection/>
    </xf>
    <xf numFmtId="4" fontId="8" fillId="14" borderId="52" xfId="0" applyNumberFormat="1" applyFont="1" applyFill="1" applyBorder="1" applyAlignment="1" applyProtection="1">
      <alignment horizontal="right" vertical="center"/>
      <protection/>
    </xf>
    <xf numFmtId="4" fontId="8" fillId="8" borderId="17" xfId="0" applyNumberFormat="1" applyFont="1" applyFill="1" applyBorder="1" applyAlignment="1" applyProtection="1">
      <alignment horizontal="left"/>
      <protection/>
    </xf>
    <xf numFmtId="4" fontId="8" fillId="8" borderId="0" xfId="0" applyNumberFormat="1" applyFont="1" applyFill="1" applyAlignment="1" applyProtection="1">
      <alignment horizontal="left"/>
      <protection/>
    </xf>
    <xf numFmtId="4" fontId="7" fillId="8" borderId="16" xfId="0" applyNumberFormat="1" applyFont="1" applyFill="1" applyBorder="1" applyAlignment="1" applyProtection="1">
      <alignment horizontal="left" vertical="center"/>
      <protection/>
    </xf>
    <xf numFmtId="4" fontId="7" fillId="8" borderId="17" xfId="0" applyNumberFormat="1" applyFont="1" applyFill="1" applyBorder="1" applyAlignment="1" applyProtection="1">
      <alignment horizontal="left" vertical="center"/>
      <protection/>
    </xf>
    <xf numFmtId="4" fontId="7" fillId="8" borderId="0" xfId="0" applyNumberFormat="1" applyFont="1" applyFill="1" applyAlignment="1" applyProtection="1">
      <alignment horizontal="left" vertical="center"/>
      <protection/>
    </xf>
    <xf numFmtId="4" fontId="3" fillId="8" borderId="53" xfId="0" applyNumberFormat="1" applyFont="1" applyFill="1" applyBorder="1" applyAlignment="1" applyProtection="1">
      <alignment horizontal="center" vertical="center"/>
      <protection/>
    </xf>
    <xf numFmtId="4" fontId="3" fillId="8" borderId="61" xfId="0" applyNumberFormat="1" applyFont="1" applyFill="1" applyBorder="1" applyAlignment="1" applyProtection="1">
      <alignment horizontal="right" vertical="center"/>
      <protection/>
    </xf>
    <xf numFmtId="4" fontId="9" fillId="14" borderId="52" xfId="0" applyNumberFormat="1" applyFont="1" applyFill="1" applyBorder="1" applyAlignment="1" applyProtection="1">
      <alignment horizontal="right" vertical="center"/>
      <protection/>
    </xf>
    <xf numFmtId="4" fontId="47" fillId="8" borderId="52" xfId="0" applyNumberFormat="1" applyFont="1" applyFill="1" applyBorder="1" applyAlignment="1" applyProtection="1">
      <alignment horizontal="right" vertical="center"/>
      <protection/>
    </xf>
    <xf numFmtId="4" fontId="45" fillId="8" borderId="0" xfId="0" applyNumberFormat="1" applyFont="1" applyFill="1" applyAlignment="1" applyProtection="1">
      <alignment horizontal="left"/>
      <protection/>
    </xf>
    <xf numFmtId="4" fontId="3" fillId="8" borderId="41" xfId="0" applyNumberFormat="1" applyFont="1" applyFill="1" applyBorder="1" applyAlignment="1" applyProtection="1">
      <alignment horizontal="center" vertical="center"/>
      <protection/>
    </xf>
    <xf numFmtId="4" fontId="3" fillId="8" borderId="48" xfId="0" applyNumberFormat="1" applyFont="1" applyFill="1" applyBorder="1" applyAlignment="1" applyProtection="1">
      <alignment horizontal="left" vertical="center"/>
      <protection/>
    </xf>
    <xf numFmtId="4" fontId="3" fillId="8" borderId="48" xfId="0" applyNumberFormat="1" applyFont="1" applyFill="1" applyBorder="1" applyAlignment="1" applyProtection="1">
      <alignment horizontal="right" vertical="center"/>
      <protection/>
    </xf>
    <xf numFmtId="4" fontId="48" fillId="8" borderId="52" xfId="0" applyNumberFormat="1" applyFont="1" applyFill="1" applyBorder="1" applyAlignment="1" applyProtection="1">
      <alignment horizontal="right" vertical="center"/>
      <protection/>
    </xf>
    <xf numFmtId="4" fontId="48" fillId="7" borderId="52" xfId="0" applyNumberFormat="1" applyFont="1" applyFill="1" applyBorder="1" applyAlignment="1" applyProtection="1">
      <alignment horizontal="right" vertical="center"/>
      <protection/>
    </xf>
    <xf numFmtId="4" fontId="8" fillId="7" borderId="52" xfId="0" applyNumberFormat="1" applyFont="1" applyFill="1" applyBorder="1" applyAlignment="1" applyProtection="1">
      <alignment horizontal="right" vertical="center"/>
      <protection/>
    </xf>
    <xf numFmtId="4" fontId="7" fillId="8" borderId="0" xfId="0" applyNumberFormat="1" applyFont="1" applyFill="1" applyAlignment="1" applyProtection="1">
      <alignment horizontal="left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4" fontId="17" fillId="8" borderId="16" xfId="0" applyNumberFormat="1" applyFont="1" applyFill="1" applyBorder="1" applyAlignment="1" applyProtection="1">
      <alignment horizontal="left"/>
      <protection/>
    </xf>
    <xf numFmtId="4" fontId="15" fillId="28" borderId="45" xfId="0" applyNumberFormat="1" applyFont="1" applyFill="1" applyBorder="1" applyAlignment="1" applyProtection="1">
      <alignment horizontal="right"/>
      <protection/>
    </xf>
    <xf numFmtId="4" fontId="17" fillId="8" borderId="17" xfId="0" applyNumberFormat="1" applyFont="1" applyFill="1" applyBorder="1" applyAlignment="1" applyProtection="1">
      <alignment horizontal="left"/>
      <protection/>
    </xf>
    <xf numFmtId="4" fontId="17" fillId="8" borderId="0" xfId="0" applyNumberFormat="1" applyFont="1" applyFill="1" applyAlignment="1" applyProtection="1">
      <alignment horizontal="left"/>
      <protection/>
    </xf>
    <xf numFmtId="4" fontId="5" fillId="17" borderId="61" xfId="0" applyNumberFormat="1" applyFont="1" applyFill="1" applyBorder="1" applyAlignment="1" applyProtection="1">
      <alignment horizontal="right" vertical="center"/>
      <protection/>
    </xf>
    <xf numFmtId="4" fontId="45" fillId="8" borderId="0" xfId="0" applyNumberFormat="1" applyFont="1" applyFill="1" applyBorder="1" applyAlignment="1" applyProtection="1">
      <alignment horizontal="center" vertical="center"/>
      <protection/>
    </xf>
    <xf numFmtId="4" fontId="2" fillId="8" borderId="16" xfId="0" applyNumberFormat="1" applyFont="1" applyFill="1" applyBorder="1" applyAlignment="1" applyProtection="1">
      <alignment horizontal="left" vertical="center"/>
      <protection/>
    </xf>
    <xf numFmtId="4" fontId="5" fillId="29" borderId="45" xfId="0" applyNumberFormat="1" applyFont="1" applyFill="1" applyBorder="1" applyAlignment="1" applyProtection="1">
      <alignment horizontal="right" vertical="center"/>
      <protection/>
    </xf>
    <xf numFmtId="4" fontId="2" fillId="8" borderId="17" xfId="0" applyNumberFormat="1" applyFont="1" applyFill="1" applyBorder="1" applyAlignment="1" applyProtection="1">
      <alignment horizontal="left" vertical="center"/>
      <protection/>
    </xf>
    <xf numFmtId="4" fontId="19" fillId="8" borderId="0" xfId="0" applyNumberFormat="1" applyFont="1" applyFill="1" applyAlignment="1" applyProtection="1">
      <alignment horizontal="right" vertical="center"/>
      <protection/>
    </xf>
    <xf numFmtId="4" fontId="2" fillId="8" borderId="0" xfId="0" applyNumberFormat="1" applyFont="1" applyFill="1" applyAlignment="1" applyProtection="1">
      <alignment horizontal="left" vertical="center"/>
      <protection/>
    </xf>
    <xf numFmtId="4" fontId="5" fillId="27" borderId="0" xfId="0" applyNumberFormat="1" applyFont="1" applyFill="1" applyBorder="1" applyAlignment="1" applyProtection="1">
      <alignment horizontal="left"/>
      <protection/>
    </xf>
    <xf numFmtId="4" fontId="5" fillId="27" borderId="0" xfId="0" applyNumberFormat="1" applyFont="1" applyFill="1" applyBorder="1" applyAlignment="1" applyProtection="1">
      <alignment horizontal="right"/>
      <protection/>
    </xf>
    <xf numFmtId="4" fontId="5" fillId="27" borderId="0" xfId="0" applyNumberFormat="1" applyFont="1" applyFill="1" applyBorder="1" applyAlignment="1" applyProtection="1">
      <alignment/>
      <protection/>
    </xf>
    <xf numFmtId="4" fontId="6" fillId="14" borderId="61" xfId="0" applyNumberFormat="1" applyFont="1" applyFill="1" applyBorder="1" applyAlignment="1" applyProtection="1">
      <alignment horizontal="right" vertical="center"/>
      <protection/>
    </xf>
    <xf numFmtId="4" fontId="6" fillId="14" borderId="54" xfId="0" applyNumberFormat="1" applyFont="1" applyFill="1" applyBorder="1" applyAlignment="1" applyProtection="1">
      <alignment horizontal="center" vertical="center"/>
      <protection/>
    </xf>
    <xf numFmtId="4" fontId="5" fillId="8" borderId="41" xfId="0" applyNumberFormat="1" applyFont="1" applyFill="1" applyBorder="1" applyAlignment="1" applyProtection="1">
      <alignment horizontal="center" vertical="center"/>
      <protection/>
    </xf>
    <xf numFmtId="4" fontId="5" fillId="8" borderId="48" xfId="0" applyNumberFormat="1" applyFont="1" applyFill="1" applyBorder="1" applyAlignment="1" applyProtection="1">
      <alignment horizontal="left" vertical="center"/>
      <protection/>
    </xf>
    <xf numFmtId="4" fontId="5" fillId="8" borderId="48" xfId="0" applyNumberFormat="1" applyFont="1" applyFill="1" applyBorder="1" applyAlignment="1" applyProtection="1">
      <alignment horizontal="right" vertical="center"/>
      <protection/>
    </xf>
    <xf numFmtId="4" fontId="19" fillId="8" borderId="0" xfId="0" applyNumberFormat="1" applyFont="1" applyFill="1" applyAlignment="1" applyProtection="1">
      <alignment horizontal="left"/>
      <protection/>
    </xf>
    <xf numFmtId="4" fontId="50" fillId="8" borderId="16" xfId="0" applyNumberFormat="1" applyFont="1" applyFill="1" applyBorder="1" applyAlignment="1" applyProtection="1">
      <alignment horizontal="left"/>
      <protection/>
    </xf>
    <xf numFmtId="4" fontId="51" fillId="8" borderId="50" xfId="0" applyNumberFormat="1" applyFont="1" applyFill="1" applyBorder="1" applyAlignment="1" applyProtection="1">
      <alignment horizontal="center" vertical="center"/>
      <protection/>
    </xf>
    <xf numFmtId="4" fontId="51" fillId="8" borderId="52" xfId="0" applyNumberFormat="1" applyFont="1" applyFill="1" applyBorder="1" applyAlignment="1" applyProtection="1">
      <alignment horizontal="left" vertical="center"/>
      <protection/>
    </xf>
    <xf numFmtId="4" fontId="51" fillId="14" borderId="52" xfId="0" applyNumberFormat="1" applyFont="1" applyFill="1" applyBorder="1" applyAlignment="1" applyProtection="1">
      <alignment horizontal="right" vertical="center"/>
      <protection/>
    </xf>
    <xf numFmtId="4" fontId="50" fillId="8" borderId="17" xfId="0" applyNumberFormat="1" applyFont="1" applyFill="1" applyBorder="1" applyAlignment="1" applyProtection="1">
      <alignment horizontal="left"/>
      <protection/>
    </xf>
    <xf numFmtId="4" fontId="50" fillId="8" borderId="0" xfId="0" applyNumberFormat="1" applyFont="1" applyFill="1" applyAlignment="1" applyProtection="1">
      <alignment horizontal="left"/>
      <protection/>
    </xf>
    <xf numFmtId="4" fontId="46" fillId="14" borderId="63" xfId="0" applyNumberFormat="1" applyFont="1" applyFill="1" applyBorder="1" applyAlignment="1" applyProtection="1">
      <alignment horizontal="right" vertical="center"/>
      <protection/>
    </xf>
    <xf numFmtId="4" fontId="27" fillId="27" borderId="0" xfId="0" applyNumberFormat="1" applyFont="1" applyFill="1" applyAlignment="1" applyProtection="1">
      <alignment horizontal="left"/>
      <protection/>
    </xf>
    <xf numFmtId="4" fontId="5" fillId="28" borderId="45" xfId="0" applyNumberFormat="1" applyFont="1" applyFill="1" applyBorder="1" applyAlignment="1" applyProtection="1">
      <alignment horizontal="right" vertical="center"/>
      <protection/>
    </xf>
    <xf numFmtId="4" fontId="5" fillId="14" borderId="123" xfId="0" applyNumberFormat="1" applyFont="1" applyFill="1" applyBorder="1" applyAlignment="1" applyProtection="1">
      <alignment vertical="center"/>
      <protection/>
    </xf>
    <xf numFmtId="4" fontId="7" fillId="14" borderId="124" xfId="0" applyNumberFormat="1" applyFont="1" applyFill="1" applyBorder="1" applyAlignment="1" applyProtection="1">
      <alignment horizontal="center" vertical="center"/>
      <protection/>
    </xf>
    <xf numFmtId="4" fontId="5" fillId="14" borderId="124" xfId="0" applyNumberFormat="1" applyFont="1" applyFill="1" applyBorder="1" applyAlignment="1" applyProtection="1">
      <alignment horizontal="right" vertical="center"/>
      <protection/>
    </xf>
    <xf numFmtId="4" fontId="2" fillId="8" borderId="16" xfId="0" applyNumberFormat="1" applyFont="1" applyFill="1" applyBorder="1" applyAlignment="1" applyProtection="1">
      <alignment vertical="center"/>
      <protection/>
    </xf>
    <xf numFmtId="4" fontId="3" fillId="5" borderId="61" xfId="0" applyNumberFormat="1" applyFont="1" applyFill="1" applyBorder="1" applyAlignment="1" applyProtection="1">
      <alignment vertical="center"/>
      <protection/>
    </xf>
    <xf numFmtId="4" fontId="3" fillId="5" borderId="61" xfId="0" applyNumberFormat="1" applyFont="1" applyFill="1" applyBorder="1" applyAlignment="1" applyProtection="1">
      <alignment horizontal="right" vertical="center"/>
      <protection/>
    </xf>
    <xf numFmtId="4" fontId="2" fillId="8" borderId="17" xfId="0" applyNumberFormat="1" applyFont="1" applyFill="1" applyBorder="1" applyAlignment="1" applyProtection="1">
      <alignment vertical="center"/>
      <protection/>
    </xf>
    <xf numFmtId="4" fontId="2" fillId="8" borderId="0" xfId="0" applyNumberFormat="1" applyFont="1" applyFill="1" applyAlignment="1" applyProtection="1">
      <alignment vertical="center"/>
      <protection/>
    </xf>
    <xf numFmtId="4" fontId="45" fillId="8" borderId="37" xfId="0" applyNumberFormat="1" applyFont="1" applyFill="1" applyBorder="1" applyAlignment="1" applyProtection="1">
      <alignment horizontal="center" vertical="center"/>
      <protection/>
    </xf>
    <xf numFmtId="4" fontId="46" fillId="8" borderId="57" xfId="0" applyNumberFormat="1" applyFont="1" applyFill="1" applyBorder="1" applyAlignment="1" applyProtection="1">
      <alignment horizontal="left" vertical="center"/>
      <protection/>
    </xf>
    <xf numFmtId="4" fontId="46" fillId="8" borderId="57" xfId="0" applyNumberFormat="1" applyFont="1" applyFill="1" applyBorder="1" applyAlignment="1" applyProtection="1">
      <alignment horizontal="right" vertical="center"/>
      <protection/>
    </xf>
    <xf numFmtId="4" fontId="46" fillId="14" borderId="57" xfId="0" applyNumberFormat="1" applyFont="1" applyFill="1" applyBorder="1" applyAlignment="1" applyProtection="1">
      <alignment horizontal="right" vertical="center"/>
      <protection/>
    </xf>
    <xf numFmtId="4" fontId="9" fillId="8" borderId="46" xfId="0" applyNumberFormat="1" applyFont="1" applyFill="1" applyBorder="1" applyAlignment="1" applyProtection="1">
      <alignment vertical="center"/>
      <protection/>
    </xf>
    <xf numFmtId="4" fontId="46" fillId="8" borderId="0" xfId="0" applyNumberFormat="1" applyFont="1" applyFill="1" applyBorder="1" applyAlignment="1" applyProtection="1">
      <alignment horizontal="left" vertical="center"/>
      <protection/>
    </xf>
    <xf numFmtId="4" fontId="5" fillId="8" borderId="0" xfId="0" applyNumberFormat="1" applyFont="1" applyFill="1" applyBorder="1" applyAlignment="1" applyProtection="1">
      <alignment horizontal="left" vertical="center"/>
      <protection/>
    </xf>
    <xf numFmtId="4" fontId="5" fillId="8" borderId="0" xfId="0" applyNumberFormat="1" applyFont="1" applyFill="1" applyBorder="1" applyAlignment="1" applyProtection="1">
      <alignment horizontal="right" vertical="center"/>
      <protection/>
    </xf>
    <xf numFmtId="4" fontId="49" fillId="8" borderId="0" xfId="0" applyNumberFormat="1" applyFont="1" applyFill="1" applyBorder="1" applyAlignment="1" applyProtection="1">
      <alignment horizontal="right" vertical="center"/>
      <protection/>
    </xf>
    <xf numFmtId="4" fontId="9" fillId="8" borderId="0" xfId="0" applyNumberFormat="1" applyFont="1" applyFill="1" applyBorder="1" applyAlignment="1" applyProtection="1">
      <alignment vertical="center"/>
      <protection/>
    </xf>
    <xf numFmtId="4" fontId="5" fillId="5" borderId="61" xfId="0" applyNumberFormat="1" applyFont="1" applyFill="1" applyBorder="1" applyAlignment="1" applyProtection="1">
      <alignment horizontal="right" vertical="center"/>
      <protection/>
    </xf>
    <xf numFmtId="4" fontId="53" fillId="8" borderId="33" xfId="0" applyNumberFormat="1" applyFont="1" applyFill="1" applyBorder="1" applyAlignment="1" applyProtection="1">
      <alignment horizontal="left" vertical="center"/>
      <protection/>
    </xf>
    <xf numFmtId="4" fontId="46" fillId="14" borderId="28" xfId="0" applyNumberFormat="1" applyFont="1" applyFill="1" applyBorder="1" applyAlignment="1" applyProtection="1">
      <alignment horizontal="right" vertical="center"/>
      <protection/>
    </xf>
    <xf numFmtId="4" fontId="53" fillId="8" borderId="51" xfId="0" applyNumberFormat="1" applyFont="1" applyFill="1" applyBorder="1" applyAlignment="1" applyProtection="1">
      <alignment horizontal="left" vertical="center"/>
      <protection/>
    </xf>
    <xf numFmtId="4" fontId="53" fillId="8" borderId="52" xfId="0" applyNumberFormat="1" applyFont="1" applyFill="1" applyBorder="1" applyAlignment="1" applyProtection="1">
      <alignment horizontal="right" vertical="center"/>
      <protection/>
    </xf>
    <xf numFmtId="4" fontId="8" fillId="8" borderId="51" xfId="0" applyNumberFormat="1" applyFont="1" applyFill="1" applyBorder="1" applyAlignment="1" applyProtection="1">
      <alignment vertical="center"/>
      <protection/>
    </xf>
    <xf numFmtId="4" fontId="53" fillId="8" borderId="50" xfId="0" applyNumberFormat="1" applyFont="1" applyFill="1" applyBorder="1" applyAlignment="1" applyProtection="1">
      <alignment horizontal="left" vertical="center"/>
      <protection/>
    </xf>
    <xf numFmtId="4" fontId="46" fillId="14" borderId="125" xfId="0" applyNumberFormat="1" applyFont="1" applyFill="1" applyBorder="1" applyAlignment="1" applyProtection="1">
      <alignment horizontal="right" vertical="center"/>
      <protection/>
    </xf>
    <xf numFmtId="4" fontId="52" fillId="8" borderId="125" xfId="0" applyNumberFormat="1" applyFont="1" applyFill="1" applyBorder="1" applyAlignment="1" applyProtection="1">
      <alignment horizontal="right" vertical="center"/>
      <protection/>
    </xf>
    <xf numFmtId="4" fontId="10" fillId="8" borderId="19" xfId="0" applyNumberFormat="1" applyFont="1" applyFill="1" applyBorder="1" applyAlignment="1" applyProtection="1">
      <alignment horizontal="left"/>
      <protection/>
    </xf>
    <xf numFmtId="4" fontId="10" fillId="8" borderId="20" xfId="0" applyNumberFormat="1" applyFont="1" applyFill="1" applyBorder="1" applyAlignment="1" applyProtection="1">
      <alignment horizontal="right"/>
      <protection/>
    </xf>
    <xf numFmtId="4" fontId="10" fillId="8" borderId="20" xfId="0" applyNumberFormat="1" applyFont="1" applyFill="1" applyBorder="1" applyAlignment="1" applyProtection="1">
      <alignment horizontal="left"/>
      <protection/>
    </xf>
    <xf numFmtId="4" fontId="10" fillId="8" borderId="21" xfId="0" applyNumberFormat="1" applyFont="1" applyFill="1" applyBorder="1" applyAlignment="1" applyProtection="1">
      <alignment horizontal="left"/>
      <protection/>
    </xf>
    <xf numFmtId="4" fontId="10" fillId="8" borderId="0" xfId="0" applyNumberFormat="1" applyFont="1" applyFill="1" applyBorder="1" applyAlignment="1" applyProtection="1">
      <alignment horizontal="left"/>
      <protection/>
    </xf>
    <xf numFmtId="4" fontId="10" fillId="8" borderId="0" xfId="0" applyNumberFormat="1" applyFont="1" applyFill="1" applyAlignment="1" applyProtection="1">
      <alignment horizontal="left"/>
      <protection/>
    </xf>
    <xf numFmtId="4" fontId="15" fillId="8" borderId="0" xfId="0" applyNumberFormat="1" applyFont="1" applyFill="1" applyBorder="1" applyAlignment="1" applyProtection="1">
      <alignment horizontal="left"/>
      <protection/>
    </xf>
    <xf numFmtId="4" fontId="3" fillId="8" borderId="0" xfId="0" applyNumberFormat="1" applyFont="1" applyFill="1" applyBorder="1" applyAlignment="1" applyProtection="1">
      <alignment horizontal="right"/>
      <protection/>
    </xf>
    <xf numFmtId="4" fontId="13" fillId="8" borderId="0" xfId="0" applyNumberFormat="1" applyFont="1" applyFill="1" applyAlignment="1" applyProtection="1">
      <alignment horizontal="right"/>
      <protection/>
    </xf>
    <xf numFmtId="4" fontId="46" fillId="8" borderId="52" xfId="0" applyNumberFormat="1" applyFont="1" applyFill="1" applyBorder="1" applyAlignment="1" applyProtection="1">
      <alignment horizontal="right" vertical="center"/>
      <protection locked="0"/>
    </xf>
    <xf numFmtId="4" fontId="46" fillId="8" borderId="63" xfId="0" applyNumberFormat="1" applyFont="1" applyFill="1" applyBorder="1" applyAlignment="1" applyProtection="1">
      <alignment horizontal="right" vertical="center"/>
      <protection locked="0"/>
    </xf>
    <xf numFmtId="4" fontId="46" fillId="8" borderId="66" xfId="0" applyNumberFormat="1" applyFont="1" applyFill="1" applyBorder="1" applyAlignment="1" applyProtection="1">
      <alignment horizontal="right" vertical="center"/>
      <protection locked="0"/>
    </xf>
    <xf numFmtId="4" fontId="47" fillId="8" borderId="52" xfId="0" applyNumberFormat="1" applyFont="1" applyFill="1" applyBorder="1" applyAlignment="1" applyProtection="1">
      <alignment horizontal="right" vertical="center"/>
      <protection locked="0"/>
    </xf>
    <xf numFmtId="4" fontId="48" fillId="8" borderId="52" xfId="0" applyNumberFormat="1" applyFont="1" applyFill="1" applyBorder="1" applyAlignment="1" applyProtection="1">
      <alignment horizontal="right" vertical="center"/>
      <protection locked="0"/>
    </xf>
    <xf numFmtId="4" fontId="47" fillId="8" borderId="63" xfId="0" applyNumberFormat="1" applyFont="1" applyFill="1" applyBorder="1" applyAlignment="1" applyProtection="1">
      <alignment horizontal="right" vertical="center"/>
      <protection locked="0"/>
    </xf>
    <xf numFmtId="4" fontId="48" fillId="8" borderId="63" xfId="0" applyNumberFormat="1" applyFont="1" applyFill="1" applyBorder="1" applyAlignment="1" applyProtection="1">
      <alignment horizontal="right" vertical="center"/>
      <protection locked="0"/>
    </xf>
    <xf numFmtId="4" fontId="48" fillId="7" borderId="52" xfId="0" applyNumberFormat="1" applyFont="1" applyFill="1" applyBorder="1" applyAlignment="1" applyProtection="1">
      <alignment horizontal="right" vertical="center"/>
      <protection locked="0"/>
    </xf>
    <xf numFmtId="4" fontId="47" fillId="8" borderId="125" xfId="0" applyNumberFormat="1" applyFont="1" applyFill="1" applyBorder="1" applyAlignment="1" applyProtection="1">
      <alignment horizontal="right" vertical="center"/>
      <protection locked="0"/>
    </xf>
    <xf numFmtId="4" fontId="45" fillId="8" borderId="50" xfId="0" applyNumberFormat="1" applyFont="1" applyFill="1" applyBorder="1" applyAlignment="1" applyProtection="1">
      <alignment horizontal="center" vertical="center"/>
      <protection locked="0"/>
    </xf>
    <xf numFmtId="4" fontId="47" fillId="8" borderId="52" xfId="0" applyNumberFormat="1" applyFont="1" applyFill="1" applyBorder="1" applyAlignment="1" applyProtection="1">
      <alignment horizontal="left" vertical="center"/>
      <protection locked="0"/>
    </xf>
    <xf numFmtId="4" fontId="45" fillId="8" borderId="36" xfId="0" applyNumberFormat="1" applyFont="1" applyFill="1" applyBorder="1" applyAlignment="1" applyProtection="1">
      <alignment horizontal="center" vertical="center"/>
      <protection locked="0"/>
    </xf>
    <xf numFmtId="4" fontId="45" fillId="8" borderId="126" xfId="0" applyNumberFormat="1" applyFont="1" applyFill="1" applyBorder="1" applyAlignment="1" applyProtection="1">
      <alignment horizontal="center" vertical="center"/>
      <protection locked="0"/>
    </xf>
    <xf numFmtId="4" fontId="47" fillId="8" borderId="125" xfId="0" applyNumberFormat="1" applyFont="1" applyFill="1" applyBorder="1" applyAlignment="1" applyProtection="1">
      <alignment horizontal="left" vertical="center"/>
      <protection locked="0"/>
    </xf>
    <xf numFmtId="4" fontId="5" fillId="8" borderId="54" xfId="0" applyNumberFormat="1" applyFont="1" applyFill="1" applyBorder="1" applyAlignment="1" applyProtection="1">
      <alignment horizontal="left"/>
      <protection locked="0"/>
    </xf>
    <xf numFmtId="4" fontId="2" fillId="8" borderId="0" xfId="0" applyNumberFormat="1" applyFont="1" applyFill="1" applyAlignment="1" applyProtection="1">
      <alignment horizontal="left"/>
      <protection locked="0"/>
    </xf>
    <xf numFmtId="4" fontId="3" fillId="8" borderId="0" xfId="0" applyNumberFormat="1" applyFont="1" applyFill="1" applyAlignment="1" applyProtection="1">
      <alignment horizontal="left"/>
      <protection locked="0"/>
    </xf>
    <xf numFmtId="4" fontId="10" fillId="8" borderId="0" xfId="0" applyNumberFormat="1" applyFont="1" applyFill="1" applyAlignment="1" applyProtection="1">
      <alignment horizontal="left"/>
      <protection locked="0"/>
    </xf>
    <xf numFmtId="4" fontId="46" fillId="8" borderId="52" xfId="0" applyNumberFormat="1" applyFont="1" applyFill="1" applyBorder="1" applyAlignment="1" applyProtection="1">
      <alignment horizontal="left" vertical="center"/>
      <protection locked="0"/>
    </xf>
    <xf numFmtId="4" fontId="47" fillId="8" borderId="63" xfId="0" applyNumberFormat="1" applyFont="1" applyFill="1" applyBorder="1" applyAlignment="1" applyProtection="1">
      <alignment horizontal="left" vertical="center"/>
      <protection locked="0"/>
    </xf>
    <xf numFmtId="4" fontId="46" fillId="8" borderId="63" xfId="0" applyNumberFormat="1" applyFont="1" applyFill="1" applyBorder="1" applyAlignment="1" applyProtection="1">
      <alignment horizontal="left" vertical="center"/>
      <protection locked="0"/>
    </xf>
    <xf numFmtId="0" fontId="2" fillId="8" borderId="95" xfId="0" applyFont="1" applyFill="1" applyBorder="1" applyAlignment="1">
      <alignment vertical="center"/>
    </xf>
    <xf numFmtId="0" fontId="2" fillId="14" borderId="95" xfId="0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3" fillId="14" borderId="56" xfId="0" applyFont="1" applyFill="1" applyBorder="1" applyAlignment="1" applyProtection="1">
      <alignment horizontal="center"/>
      <protection/>
    </xf>
    <xf numFmtId="0" fontId="15" fillId="14" borderId="31" xfId="0" applyFont="1" applyFill="1" applyBorder="1" applyAlignment="1" applyProtection="1">
      <alignment horizontal="center"/>
      <protection/>
    </xf>
    <xf numFmtId="0" fontId="3" fillId="14" borderId="31" xfId="0" applyFont="1" applyFill="1" applyBorder="1" applyAlignment="1" applyProtection="1">
      <alignment horizontal="center"/>
      <protection/>
    </xf>
    <xf numFmtId="0" fontId="3" fillId="14" borderId="36" xfId="0" applyFont="1" applyFill="1" applyBorder="1" applyAlignment="1" applyProtection="1">
      <alignment horizontal="center"/>
      <protection/>
    </xf>
    <xf numFmtId="0" fontId="13" fillId="14" borderId="36" xfId="0" applyFont="1" applyFill="1" applyBorder="1" applyAlignment="1" applyProtection="1">
      <alignment horizontal="center"/>
      <protection/>
    </xf>
    <xf numFmtId="0" fontId="5" fillId="8" borderId="36" xfId="0" applyFont="1" applyFill="1" applyBorder="1" applyAlignment="1" applyProtection="1">
      <alignment horizontal="center"/>
      <protection/>
    </xf>
    <xf numFmtId="0" fontId="5" fillId="8" borderId="0" xfId="0" applyFont="1" applyFill="1" applyBorder="1" applyAlignment="1" applyProtection="1">
      <alignment/>
      <protection/>
    </xf>
    <xf numFmtId="0" fontId="10" fillId="8" borderId="31" xfId="0" applyFont="1" applyFill="1" applyBorder="1" applyAlignment="1" applyProtection="1">
      <alignment/>
      <protection/>
    </xf>
    <xf numFmtId="0" fontId="7" fillId="8" borderId="0" xfId="0" applyFont="1" applyFill="1" applyAlignment="1" applyProtection="1">
      <alignment/>
      <protection/>
    </xf>
    <xf numFmtId="0" fontId="5" fillId="8" borderId="37" xfId="0" applyFont="1" applyFill="1" applyBorder="1" applyAlignment="1" applyProtection="1">
      <alignment horizontal="center"/>
      <protection/>
    </xf>
    <xf numFmtId="0" fontId="5" fillId="8" borderId="25" xfId="0" applyFont="1" applyFill="1" applyBorder="1" applyAlignment="1" applyProtection="1">
      <alignment/>
      <protection/>
    </xf>
    <xf numFmtId="4" fontId="5" fillId="8" borderId="32" xfId="0" applyNumberFormat="1" applyFont="1" applyFill="1" applyBorder="1" applyAlignment="1" applyProtection="1">
      <alignment/>
      <protection/>
    </xf>
    <xf numFmtId="0" fontId="3" fillId="8" borderId="37" xfId="0" applyFont="1" applyFill="1" applyBorder="1" applyAlignment="1" applyProtection="1">
      <alignment horizontal="center"/>
      <protection/>
    </xf>
    <xf numFmtId="0" fontId="3" fillId="8" borderId="25" xfId="0" applyFont="1" applyFill="1" applyBorder="1" applyAlignment="1" applyProtection="1">
      <alignment/>
      <protection/>
    </xf>
    <xf numFmtId="0" fontId="2" fillId="8" borderId="38" xfId="0" applyFont="1" applyFill="1" applyBorder="1" applyAlignment="1" applyProtection="1">
      <alignment horizontal="center"/>
      <protection/>
    </xf>
    <xf numFmtId="0" fontId="2" fillId="8" borderId="26" xfId="0" applyFont="1" applyFill="1" applyBorder="1" applyAlignment="1" applyProtection="1">
      <alignment/>
      <protection/>
    </xf>
    <xf numFmtId="4" fontId="2" fillId="8" borderId="33" xfId="0" applyNumberFormat="1" applyFont="1" applyFill="1" applyBorder="1" applyAlignment="1" applyProtection="1">
      <alignment/>
      <protection/>
    </xf>
    <xf numFmtId="0" fontId="2" fillId="8" borderId="39" xfId="0" applyFont="1" applyFill="1" applyBorder="1" applyAlignment="1" applyProtection="1">
      <alignment horizontal="center"/>
      <protection/>
    </xf>
    <xf numFmtId="0" fontId="2" fillId="8" borderId="27" xfId="0" applyFont="1" applyFill="1" applyBorder="1" applyAlignment="1" applyProtection="1">
      <alignment/>
      <protection/>
    </xf>
    <xf numFmtId="4" fontId="2" fillId="8" borderId="34" xfId="0" applyNumberFormat="1" applyFont="1" applyFill="1" applyBorder="1" applyAlignment="1" applyProtection="1">
      <alignment/>
      <protection/>
    </xf>
    <xf numFmtId="0" fontId="3" fillId="8" borderId="36" xfId="0" applyFont="1" applyFill="1" applyBorder="1" applyAlignment="1" applyProtection="1">
      <alignment horizontal="center"/>
      <protection/>
    </xf>
    <xf numFmtId="4" fontId="3" fillId="8" borderId="0" xfId="0" applyNumberFormat="1" applyFont="1" applyFill="1" applyBorder="1" applyAlignment="1" applyProtection="1">
      <alignment/>
      <protection/>
    </xf>
    <xf numFmtId="4" fontId="3" fillId="8" borderId="63" xfId="0" applyNumberFormat="1" applyFont="1" applyFill="1" applyBorder="1" applyAlignment="1" applyProtection="1">
      <alignment/>
      <protection/>
    </xf>
    <xf numFmtId="0" fontId="15" fillId="8" borderId="40" xfId="0" applyFont="1" applyFill="1" applyBorder="1" applyAlignment="1" applyProtection="1">
      <alignment horizontal="left"/>
      <protection/>
    </xf>
    <xf numFmtId="0" fontId="15" fillId="8" borderId="20" xfId="0" applyFont="1" applyFill="1" applyBorder="1" applyAlignment="1" applyProtection="1">
      <alignment/>
      <protection/>
    </xf>
    <xf numFmtId="4" fontId="15" fillId="8" borderId="20" xfId="0" applyNumberFormat="1" applyFont="1" applyFill="1" applyBorder="1" applyAlignment="1" applyProtection="1">
      <alignment/>
      <protection/>
    </xf>
    <xf numFmtId="4" fontId="15" fillId="8" borderId="78" xfId="0" applyNumberFormat="1" applyFont="1" applyFill="1" applyBorder="1" applyAlignment="1" applyProtection="1">
      <alignment/>
      <protection/>
    </xf>
    <xf numFmtId="0" fontId="30" fillId="8" borderId="0" xfId="0" applyFont="1" applyFill="1" applyBorder="1" applyAlignment="1" applyProtection="1">
      <alignment horizontal="right"/>
      <protection/>
    </xf>
    <xf numFmtId="0" fontId="2" fillId="8" borderId="33" xfId="0" applyFont="1" applyFill="1" applyBorder="1" applyAlignment="1" applyProtection="1">
      <alignment vertical="center"/>
      <protection locked="0"/>
    </xf>
    <xf numFmtId="0" fontId="2" fillId="8" borderId="34" xfId="0" applyFont="1" applyFill="1" applyBorder="1" applyAlignment="1" applyProtection="1">
      <alignment vertical="center"/>
      <protection locked="0"/>
    </xf>
    <xf numFmtId="4" fontId="2" fillId="8" borderId="47" xfId="0" applyNumberFormat="1" applyFont="1" applyFill="1" applyBorder="1" applyAlignment="1" applyProtection="1">
      <alignment horizontal="left" vertical="center"/>
      <protection locked="0"/>
    </xf>
    <xf numFmtId="0" fontId="2" fillId="8" borderId="39" xfId="0" applyFont="1" applyFill="1" applyBorder="1" applyAlignment="1" applyProtection="1">
      <alignment vertical="center"/>
      <protection locked="0"/>
    </xf>
    <xf numFmtId="4" fontId="2" fillId="8" borderId="50" xfId="0" applyNumberFormat="1" applyFont="1" applyFill="1" applyBorder="1" applyAlignment="1" applyProtection="1">
      <alignment vertical="center"/>
      <protection locked="0"/>
    </xf>
    <xf numFmtId="0" fontId="2" fillId="8" borderId="51" xfId="0" applyFont="1" applyFill="1" applyBorder="1" applyAlignment="1" applyProtection="1">
      <alignment horizontal="left" vertical="center"/>
      <protection locked="0"/>
    </xf>
    <xf numFmtId="0" fontId="2" fillId="8" borderId="51" xfId="0" applyFont="1" applyFill="1" applyBorder="1" applyAlignment="1" applyProtection="1">
      <alignment horizontal="center" vertical="center"/>
      <protection locked="0"/>
    </xf>
    <xf numFmtId="4" fontId="45" fillId="30" borderId="50" xfId="0" applyNumberFormat="1" applyFont="1" applyFill="1" applyBorder="1" applyAlignment="1" applyProtection="1">
      <alignment horizontal="center" vertical="center"/>
      <protection/>
    </xf>
    <xf numFmtId="4" fontId="46" fillId="30" borderId="52" xfId="0" applyNumberFormat="1" applyFont="1" applyFill="1" applyBorder="1" applyAlignment="1" applyProtection="1">
      <alignment horizontal="left" vertical="center"/>
      <protection/>
    </xf>
    <xf numFmtId="4" fontId="46" fillId="30" borderId="52" xfId="0" applyNumberFormat="1" applyFont="1" applyFill="1" applyBorder="1" applyAlignment="1" applyProtection="1">
      <alignment horizontal="right" vertical="center"/>
      <protection/>
    </xf>
    <xf numFmtId="4" fontId="40" fillId="30" borderId="54" xfId="0" applyNumberFormat="1" applyFont="1" applyFill="1" applyBorder="1" applyAlignment="1" applyProtection="1">
      <alignment horizontal="left"/>
      <protection locked="0"/>
    </xf>
    <xf numFmtId="4" fontId="10" fillId="0" borderId="16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left" vertical="center"/>
      <protection locked="0"/>
    </xf>
    <xf numFmtId="0" fontId="5" fillId="14" borderId="123" xfId="0" applyFont="1" applyFill="1" applyBorder="1" applyAlignment="1">
      <alignment vertical="center"/>
    </xf>
    <xf numFmtId="0" fontId="7" fillId="14" borderId="124" xfId="0" applyFont="1" applyFill="1" applyBorder="1" applyAlignment="1">
      <alignment horizontal="center" vertical="center"/>
    </xf>
    <xf numFmtId="4" fontId="5" fillId="14" borderId="127" xfId="0" applyNumberFormat="1" applyFont="1" applyFill="1" applyBorder="1" applyAlignment="1">
      <alignment vertical="center"/>
    </xf>
    <xf numFmtId="4" fontId="2" fillId="8" borderId="39" xfId="0" applyNumberFormat="1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>
      <alignment horizontal="left" vertical="center"/>
    </xf>
    <xf numFmtId="0" fontId="2" fillId="27" borderId="0" xfId="0" applyFont="1" applyFill="1" applyAlignment="1">
      <alignment vertical="center"/>
    </xf>
    <xf numFmtId="0" fontId="2" fillId="8" borderId="50" xfId="0" applyFont="1" applyFill="1" applyBorder="1" applyAlignment="1" applyProtection="1">
      <alignment vertical="center"/>
      <protection locked="0"/>
    </xf>
    <xf numFmtId="0" fontId="2" fillId="8" borderId="52" xfId="0" applyFont="1" applyFill="1" applyBorder="1" applyAlignment="1" applyProtection="1">
      <alignment vertical="center"/>
      <protection locked="0"/>
    </xf>
    <xf numFmtId="4" fontId="2" fillId="8" borderId="66" xfId="0" applyNumberFormat="1" applyFont="1" applyFill="1" applyBorder="1" applyAlignment="1" applyProtection="1">
      <alignment vertical="center"/>
      <protection locked="0"/>
    </xf>
    <xf numFmtId="4" fontId="2" fillId="8" borderId="39" xfId="0" applyNumberFormat="1" applyFont="1" applyFill="1" applyBorder="1" applyAlignment="1" applyProtection="1">
      <alignment vertical="center"/>
      <protection locked="0"/>
    </xf>
    <xf numFmtId="4" fontId="2" fillId="8" borderId="47" xfId="0" applyNumberFormat="1" applyFont="1" applyFill="1" applyBorder="1" applyAlignment="1" applyProtection="1">
      <alignment vertical="center"/>
      <protection locked="0"/>
    </xf>
    <xf numFmtId="4" fontId="2" fillId="8" borderId="47" xfId="0" applyNumberFormat="1" applyFont="1" applyFill="1" applyBorder="1" applyAlignment="1" applyProtection="1">
      <alignment vertical="center"/>
      <protection locked="0"/>
    </xf>
    <xf numFmtId="4" fontId="2" fillId="8" borderId="48" xfId="0" applyNumberFormat="1" applyFont="1" applyFill="1" applyBorder="1" applyAlignment="1" applyProtection="1">
      <alignment vertical="center"/>
      <protection locked="0"/>
    </xf>
    <xf numFmtId="4" fontId="2" fillId="8" borderId="12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" fontId="2" fillId="8" borderId="52" xfId="0" applyNumberFormat="1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 applyProtection="1">
      <alignment vertical="center"/>
      <protection/>
    </xf>
    <xf numFmtId="0" fontId="2" fillId="8" borderId="50" xfId="0" applyFont="1" applyFill="1" applyBorder="1" applyAlignment="1">
      <alignment horizontal="left" vertical="center"/>
    </xf>
    <xf numFmtId="4" fontId="2" fillId="0" borderId="51" xfId="0" applyNumberFormat="1" applyFont="1" applyFill="1" applyBorder="1" applyAlignment="1" applyProtection="1">
      <alignment vertical="center"/>
      <protection locked="0"/>
    </xf>
    <xf numFmtId="0" fontId="2" fillId="8" borderId="41" xfId="0" applyFont="1" applyFill="1" applyBorder="1" applyAlignment="1">
      <alignment horizontal="left" vertical="center"/>
    </xf>
    <xf numFmtId="4" fontId="2" fillId="0" borderId="46" xfId="0" applyNumberFormat="1" applyFont="1" applyFill="1" applyBorder="1" applyAlignment="1" applyProtection="1">
      <alignment vertical="center"/>
      <protection/>
    </xf>
    <xf numFmtId="0" fontId="3" fillId="8" borderId="129" xfId="0" applyFont="1" applyFill="1" applyBorder="1" applyAlignment="1" applyProtection="1">
      <alignment vertical="center"/>
      <protection/>
    </xf>
    <xf numFmtId="0" fontId="2" fillId="8" borderId="130" xfId="0" applyFont="1" applyFill="1" applyBorder="1" applyAlignment="1" applyProtection="1">
      <alignment vertical="center"/>
      <protection/>
    </xf>
    <xf numFmtId="4" fontId="3" fillId="8" borderId="131" xfId="0" applyNumberFormat="1" applyFont="1" applyFill="1" applyBorder="1" applyAlignment="1" applyProtection="1">
      <alignment horizontal="right" vertical="center"/>
      <protection/>
    </xf>
    <xf numFmtId="4" fontId="2" fillId="8" borderId="129" xfId="0" applyNumberFormat="1" applyFont="1" applyFill="1" applyBorder="1" applyAlignment="1" applyProtection="1">
      <alignment horizontal="left" vertical="center"/>
      <protection/>
    </xf>
    <xf numFmtId="4" fontId="2" fillId="8" borderId="132" xfId="0" applyNumberFormat="1" applyFont="1" applyFill="1" applyBorder="1" applyAlignment="1" applyProtection="1">
      <alignment horizontal="left" vertical="center"/>
      <protection/>
    </xf>
    <xf numFmtId="4" fontId="2" fillId="8" borderId="130" xfId="0" applyNumberFormat="1" applyFont="1" applyFill="1" applyBorder="1" applyAlignment="1" applyProtection="1">
      <alignment horizontal="left" vertical="center"/>
      <protection/>
    </xf>
    <xf numFmtId="4" fontId="3" fillId="8" borderId="34" xfId="0" applyNumberFormat="1" applyFont="1" applyFill="1" applyBorder="1" applyAlignment="1" applyProtection="1">
      <alignment horizontal="right" vertical="center"/>
      <protection/>
    </xf>
    <xf numFmtId="4" fontId="2" fillId="8" borderId="39" xfId="0" applyNumberFormat="1" applyFont="1" applyFill="1" applyBorder="1" applyAlignment="1" applyProtection="1">
      <alignment horizontal="left" vertical="center"/>
      <protection/>
    </xf>
    <xf numFmtId="4" fontId="2" fillId="8" borderId="27" xfId="0" applyNumberFormat="1" applyFont="1" applyFill="1" applyBorder="1" applyAlignment="1" applyProtection="1">
      <alignment horizontal="left" vertical="center"/>
      <protection/>
    </xf>
    <xf numFmtId="4" fontId="2" fillId="8" borderId="47" xfId="0" applyNumberFormat="1" applyFont="1" applyFill="1" applyBorder="1" applyAlignment="1" applyProtection="1">
      <alignment horizontal="left" vertical="center"/>
      <protection/>
    </xf>
    <xf numFmtId="3" fontId="23" fillId="8" borderId="0" xfId="0" applyNumberFormat="1" applyFont="1" applyFill="1" applyBorder="1" applyAlignment="1" applyProtection="1">
      <alignment horizontal="center" vertical="center"/>
      <protection/>
    </xf>
    <xf numFmtId="0" fontId="26" fillId="8" borderId="0" xfId="0" applyFont="1" applyFill="1" applyBorder="1" applyAlignment="1" applyProtection="1">
      <alignment horizontal="left" vertical="center"/>
      <protection/>
    </xf>
    <xf numFmtId="0" fontId="26" fillId="8" borderId="0" xfId="0" applyFont="1" applyFill="1" applyBorder="1" applyAlignment="1" applyProtection="1" quotePrefix="1">
      <alignment horizontal="left" vertical="center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 quotePrefix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39" fillId="8" borderId="0" xfId="0" applyFont="1" applyFill="1" applyBorder="1" applyAlignment="1" applyProtection="1">
      <alignment horizontal="left"/>
      <protection/>
    </xf>
    <xf numFmtId="4" fontId="3" fillId="8" borderId="54" xfId="0" applyNumberFormat="1" applyFont="1" applyFill="1" applyBorder="1" applyAlignment="1" applyProtection="1">
      <alignment/>
      <protection/>
    </xf>
    <xf numFmtId="0" fontId="2" fillId="8" borderId="52" xfId="0" applyFont="1" applyFill="1" applyBorder="1" applyAlignment="1" applyProtection="1">
      <alignment horizontal="left" vertical="center"/>
      <protection locked="0"/>
    </xf>
    <xf numFmtId="4" fontId="3" fillId="14" borderId="45" xfId="0" applyNumberFormat="1" applyFont="1" applyFill="1" applyBorder="1" applyAlignment="1">
      <alignment vertical="center"/>
    </xf>
    <xf numFmtId="0" fontId="21" fillId="14" borderId="31" xfId="89" applyFont="1" applyFill="1" applyBorder="1" applyAlignment="1">
      <alignment horizontal="center" wrapText="1"/>
      <protection/>
    </xf>
    <xf numFmtId="4" fontId="3" fillId="8" borderId="66" xfId="0" applyNumberFormat="1" applyFont="1" applyFill="1" applyBorder="1" applyAlignment="1" applyProtection="1">
      <alignment vertical="center"/>
      <protection locked="0"/>
    </xf>
    <xf numFmtId="4" fontId="3" fillId="8" borderId="47" xfId="0" applyNumberFormat="1" applyFont="1" applyFill="1" applyBorder="1" applyAlignment="1" applyProtection="1">
      <alignment vertical="center"/>
      <protection locked="0"/>
    </xf>
    <xf numFmtId="4" fontId="3" fillId="8" borderId="48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Alignment="1" applyProtection="1">
      <alignment horizontal="left"/>
      <protection/>
    </xf>
    <xf numFmtId="0" fontId="2" fillId="8" borderId="16" xfId="0" applyFont="1" applyFill="1" applyBorder="1" applyAlignment="1" applyProtection="1">
      <alignment horizontal="left"/>
      <protection/>
    </xf>
    <xf numFmtId="0" fontId="2" fillId="8" borderId="17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8" borderId="0" xfId="0" applyFont="1" applyFill="1" applyBorder="1" applyAlignment="1" applyProtection="1">
      <alignment horizontal="left" vertical="center"/>
      <protection/>
    </xf>
    <xf numFmtId="0" fontId="8" fillId="8" borderId="0" xfId="0" applyFont="1" applyFill="1" applyAlignment="1" applyProtection="1">
      <alignment horizontal="left" vertical="center"/>
      <protection/>
    </xf>
    <xf numFmtId="0" fontId="9" fillId="8" borderId="17" xfId="0" applyFont="1" applyFill="1" applyBorder="1" applyAlignment="1" applyProtection="1">
      <alignment horizontal="left"/>
      <protection/>
    </xf>
    <xf numFmtId="0" fontId="5" fillId="14" borderId="37" xfId="0" applyFont="1" applyFill="1" applyBorder="1" applyAlignment="1" applyProtection="1">
      <alignment horizontal="left" vertical="center"/>
      <protection/>
    </xf>
    <xf numFmtId="0" fontId="5" fillId="14" borderId="57" xfId="0" applyFont="1" applyFill="1" applyBorder="1" applyAlignment="1" applyProtection="1">
      <alignment horizontal="left" vertical="center"/>
      <protection/>
    </xf>
    <xf numFmtId="0" fontId="22" fillId="14" borderId="31" xfId="89" applyFont="1" applyFill="1" applyBorder="1" applyAlignment="1" applyProtection="1">
      <alignment horizontal="center" wrapText="1"/>
      <protection/>
    </xf>
    <xf numFmtId="0" fontId="24" fillId="14" borderId="58" xfId="89" applyFont="1" applyFill="1" applyBorder="1" applyAlignment="1" applyProtection="1">
      <alignment horizontal="center" wrapText="1"/>
      <protection/>
    </xf>
    <xf numFmtId="0" fontId="24" fillId="14" borderId="59" xfId="89" applyFont="1" applyFill="1" applyBorder="1" applyAlignment="1" applyProtection="1">
      <alignment horizontal="center" wrapText="1"/>
      <protection/>
    </xf>
    <xf numFmtId="0" fontId="24" fillId="14" borderId="60" xfId="89" applyFont="1" applyFill="1" applyBorder="1" applyAlignment="1" applyProtection="1">
      <alignment horizontal="center" wrapText="1"/>
      <protection/>
    </xf>
    <xf numFmtId="0" fontId="9" fillId="8" borderId="0" xfId="0" applyFont="1" applyFill="1" applyAlignment="1" applyProtection="1">
      <alignment horizontal="left"/>
      <protection/>
    </xf>
    <xf numFmtId="0" fontId="2" fillId="8" borderId="38" xfId="0" applyFont="1" applyFill="1" applyBorder="1" applyAlignment="1" applyProtection="1">
      <alignment horizontal="left" vertical="center"/>
      <protection/>
    </xf>
    <xf numFmtId="0" fontId="2" fillId="8" borderId="26" xfId="0" applyFont="1" applyFill="1" applyBorder="1" applyAlignment="1" applyProtection="1">
      <alignment horizontal="left" vertical="center"/>
      <protection/>
    </xf>
    <xf numFmtId="0" fontId="2" fillId="8" borderId="39" xfId="0" applyFont="1" applyFill="1" applyBorder="1" applyAlignment="1" applyProtection="1">
      <alignment horizontal="left" vertical="center"/>
      <protection/>
    </xf>
    <xf numFmtId="0" fontId="2" fillId="8" borderId="27" xfId="0" applyFont="1" applyFill="1" applyBorder="1" applyAlignment="1" applyProtection="1">
      <alignment horizontal="left" vertical="center"/>
      <protection/>
    </xf>
    <xf numFmtId="0" fontId="2" fillId="8" borderId="41" xfId="0" applyFont="1" applyFill="1" applyBorder="1" applyAlignment="1" applyProtection="1">
      <alignment horizontal="left" vertical="center"/>
      <protection/>
    </xf>
    <xf numFmtId="0" fontId="2" fillId="8" borderId="42" xfId="0" applyFont="1" applyFill="1" applyBorder="1" applyAlignment="1" applyProtection="1">
      <alignment horizontal="left" vertical="center"/>
      <protection/>
    </xf>
    <xf numFmtId="4" fontId="3" fillId="8" borderId="46" xfId="0" applyNumberFormat="1" applyFont="1" applyFill="1" applyBorder="1" applyAlignment="1" applyProtection="1">
      <alignment vertical="center"/>
      <protection/>
    </xf>
    <xf numFmtId="0" fontId="7" fillId="8" borderId="0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2" fillId="8" borderId="95" xfId="0" applyFont="1" applyFill="1" applyBorder="1" applyAlignment="1">
      <alignment vertical="center"/>
    </xf>
    <xf numFmtId="0" fontId="2" fillId="8" borderId="76" xfId="0" applyFont="1" applyFill="1" applyBorder="1" applyAlignment="1" applyProtection="1">
      <alignment vertical="center"/>
      <protection locked="0"/>
    </xf>
    <xf numFmtId="0" fontId="2" fillId="8" borderId="77" xfId="0" applyFont="1" applyFill="1" applyBorder="1" applyAlignment="1" applyProtection="1">
      <alignment vertical="center"/>
      <protection locked="0"/>
    </xf>
    <xf numFmtId="0" fontId="2" fillId="8" borderId="76" xfId="0" applyFont="1" applyFill="1" applyBorder="1" applyAlignment="1" applyProtection="1">
      <alignment vertical="center"/>
      <protection locked="0"/>
    </xf>
    <xf numFmtId="0" fontId="2" fillId="8" borderId="41" xfId="0" applyFont="1" applyFill="1" applyBorder="1" applyAlignment="1" applyProtection="1">
      <alignment horizontal="left" vertical="center"/>
      <protection locked="0"/>
    </xf>
    <xf numFmtId="0" fontId="2" fillId="8" borderId="51" xfId="0" applyNumberFormat="1" applyFont="1" applyFill="1" applyBorder="1" applyAlignment="1" applyProtection="1">
      <alignment horizontal="center" vertical="center"/>
      <protection locked="0"/>
    </xf>
    <xf numFmtId="0" fontId="2" fillId="8" borderId="34" xfId="0" applyNumberFormat="1" applyFont="1" applyFill="1" applyBorder="1" applyAlignment="1" applyProtection="1">
      <alignment horizontal="center" vertical="center"/>
      <protection locked="0"/>
    </xf>
    <xf numFmtId="4" fontId="10" fillId="8" borderId="24" xfId="0" applyNumberFormat="1" applyFont="1" applyFill="1" applyBorder="1" applyAlignment="1" applyProtection="1">
      <alignment/>
      <protection locked="0"/>
    </xf>
    <xf numFmtId="4" fontId="10" fillId="8" borderId="24" xfId="0" applyNumberFormat="1" applyFont="1" applyFill="1" applyBorder="1" applyAlignment="1" applyProtection="1" quotePrefix="1">
      <alignment/>
      <protection locked="0"/>
    </xf>
    <xf numFmtId="4" fontId="10" fillId="8" borderId="23" xfId="0" applyNumberFormat="1" applyFont="1" applyFill="1" applyBorder="1" applyAlignment="1" applyProtection="1">
      <alignment/>
      <protection locked="0"/>
    </xf>
    <xf numFmtId="0" fontId="9" fillId="8" borderId="23" xfId="0" applyFont="1" applyFill="1" applyBorder="1" applyAlignment="1" applyProtection="1">
      <alignment/>
      <protection locked="0"/>
    </xf>
    <xf numFmtId="1" fontId="3" fillId="8" borderId="66" xfId="0" applyNumberFormat="1" applyFont="1" applyFill="1" applyBorder="1" applyAlignment="1" applyProtection="1">
      <alignment horizontal="center" vertical="center"/>
      <protection locked="0"/>
    </xf>
    <xf numFmtId="1" fontId="2" fillId="8" borderId="66" xfId="0" applyNumberFormat="1" applyFont="1" applyFill="1" applyBorder="1" applyAlignment="1" applyProtection="1">
      <alignment horizontal="center" vertical="center"/>
      <protection locked="0"/>
    </xf>
    <xf numFmtId="1" fontId="3" fillId="8" borderId="52" xfId="0" applyNumberFormat="1" applyFont="1" applyFill="1" applyBorder="1" applyAlignment="1" applyProtection="1">
      <alignment horizontal="center" vertical="center"/>
      <protection locked="0"/>
    </xf>
    <xf numFmtId="1" fontId="2" fillId="8" borderId="52" xfId="0" applyNumberFormat="1" applyFont="1" applyFill="1" applyBorder="1" applyAlignment="1" applyProtection="1">
      <alignment horizontal="center" vertical="center"/>
      <protection locked="0"/>
    </xf>
    <xf numFmtId="1" fontId="3" fillId="8" borderId="47" xfId="0" applyNumberFormat="1" applyFont="1" applyFill="1" applyBorder="1" applyAlignment="1" applyProtection="1">
      <alignment horizontal="center" vertical="center"/>
      <protection locked="0"/>
    </xf>
    <xf numFmtId="1" fontId="2" fillId="8" borderId="47" xfId="0" applyNumberFormat="1" applyFont="1" applyFill="1" applyBorder="1" applyAlignment="1" applyProtection="1">
      <alignment horizontal="center" vertical="center"/>
      <protection locked="0"/>
    </xf>
    <xf numFmtId="1" fontId="3" fillId="8" borderId="77" xfId="0" applyNumberFormat="1" applyFont="1" applyFill="1" applyBorder="1" applyAlignment="1" applyProtection="1">
      <alignment horizontal="center" vertical="center"/>
      <protection locked="0"/>
    </xf>
    <xf numFmtId="1" fontId="2" fillId="8" borderId="77" xfId="0" applyNumberFormat="1" applyFont="1" applyFill="1" applyBorder="1" applyAlignment="1" applyProtection="1">
      <alignment horizontal="center" vertical="center"/>
      <protection locked="0"/>
    </xf>
    <xf numFmtId="1" fontId="3" fillId="8" borderId="48" xfId="0" applyNumberFormat="1" applyFont="1" applyFill="1" applyBorder="1" applyAlignment="1" applyProtection="1">
      <alignment horizontal="center" vertical="center"/>
      <protection locked="0"/>
    </xf>
    <xf numFmtId="1" fontId="2" fillId="8" borderId="48" xfId="0" applyNumberFormat="1" applyFont="1" applyFill="1" applyBorder="1" applyAlignment="1" applyProtection="1">
      <alignment horizontal="center" vertical="center"/>
      <protection locked="0"/>
    </xf>
    <xf numFmtId="1" fontId="3" fillId="8" borderId="63" xfId="0" applyNumberFormat="1" applyFont="1" applyFill="1" applyBorder="1" applyAlignment="1" applyProtection="1">
      <alignment horizontal="center" vertical="center"/>
      <protection locked="0"/>
    </xf>
    <xf numFmtId="1" fontId="2" fillId="8" borderId="63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left"/>
      <protection locked="0"/>
    </xf>
    <xf numFmtId="4" fontId="10" fillId="0" borderId="16" xfId="0" applyNumberFormat="1" applyFont="1" applyFill="1" applyBorder="1" applyAlignment="1" applyProtection="1">
      <alignment horizontal="left"/>
      <protection locked="0"/>
    </xf>
    <xf numFmtId="168" fontId="10" fillId="8" borderId="0" xfId="0" applyNumberFormat="1" applyFont="1" applyFill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81" fillId="31" borderId="133" xfId="0" applyFont="1" applyFill="1" applyBorder="1" applyAlignment="1" applyProtection="1">
      <alignment horizontal="left" vertical="center"/>
      <protection locked="0"/>
    </xf>
    <xf numFmtId="14" fontId="81" fillId="31" borderId="134" xfId="0" applyNumberFormat="1" applyFont="1" applyFill="1" applyBorder="1" applyAlignment="1" applyProtection="1">
      <alignment horizontal="center" vertical="center"/>
      <protection locked="0"/>
    </xf>
    <xf numFmtId="0" fontId="81" fillId="31" borderId="134" xfId="0" applyFont="1" applyFill="1" applyBorder="1" applyAlignment="1" applyProtection="1">
      <alignment horizontal="left" vertical="center"/>
      <protection locked="0"/>
    </xf>
    <xf numFmtId="0" fontId="81" fillId="31" borderId="134" xfId="0" applyFont="1" applyFill="1" applyBorder="1" applyAlignment="1" applyProtection="1">
      <alignment horizontal="center" vertical="center"/>
      <protection locked="0"/>
    </xf>
    <xf numFmtId="0" fontId="37" fillId="31" borderId="134" xfId="0" applyFont="1" applyFill="1" applyBorder="1" applyAlignment="1" applyProtection="1">
      <alignment horizontal="center" vertical="center"/>
      <protection locked="0"/>
    </xf>
    <xf numFmtId="4" fontId="81" fillId="31" borderId="134" xfId="0" applyNumberFormat="1" applyFont="1" applyFill="1" applyBorder="1" applyAlignment="1" applyProtection="1">
      <alignment horizontal="right" vertical="center"/>
      <protection locked="0"/>
    </xf>
    <xf numFmtId="0" fontId="81" fillId="31" borderId="135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" fontId="2" fillId="32" borderId="66" xfId="0" applyNumberFormat="1" applyFont="1" applyFill="1" applyBorder="1" applyAlignment="1" applyProtection="1">
      <alignment vertical="center"/>
      <protection locked="0"/>
    </xf>
    <xf numFmtId="4" fontId="2" fillId="8" borderId="77" xfId="0" applyNumberFormat="1" applyFont="1" applyFill="1" applyBorder="1" applyAlignment="1" applyProtection="1">
      <alignment vertical="center"/>
      <protection locked="0"/>
    </xf>
    <xf numFmtId="4" fontId="2" fillId="0" borderId="95" xfId="0" applyNumberFormat="1" applyFont="1" applyFill="1" applyBorder="1" applyAlignment="1" applyProtection="1">
      <alignment vertical="center"/>
      <protection locked="0"/>
    </xf>
    <xf numFmtId="4" fontId="2" fillId="0" borderId="93" xfId="0" applyNumberFormat="1" applyFont="1" applyFill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  <protection locked="0"/>
    </xf>
    <xf numFmtId="4" fontId="10" fillId="0" borderId="16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2" fillId="8" borderId="0" xfId="0" applyNumberFormat="1" applyFont="1" applyFill="1" applyAlignment="1">
      <alignment horizontal="left"/>
    </xf>
    <xf numFmtId="1" fontId="4" fillId="14" borderId="0" xfId="0" applyNumberFormat="1" applyFont="1" applyFill="1" applyBorder="1" applyAlignment="1">
      <alignment horizontal="center" vertical="center"/>
    </xf>
    <xf numFmtId="0" fontId="5" fillId="8" borderId="53" xfId="0" applyFont="1" applyFill="1" applyBorder="1" applyAlignment="1" applyProtection="1">
      <alignment horizontal="center" vertical="center"/>
      <protection locked="0"/>
    </xf>
    <xf numFmtId="0" fontId="5" fillId="8" borderId="49" xfId="0" applyFont="1" applyFill="1" applyBorder="1" applyAlignment="1" applyProtection="1">
      <alignment horizontal="center" vertical="center"/>
      <protection locked="0"/>
    </xf>
    <xf numFmtId="0" fontId="5" fillId="8" borderId="61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/>
    </xf>
    <xf numFmtId="0" fontId="3" fillId="26" borderId="0" xfId="0" applyFont="1" applyFill="1" applyBorder="1" applyAlignment="1">
      <alignment horizontal="left" vertical="center"/>
    </xf>
    <xf numFmtId="1" fontId="4" fillId="14" borderId="0" xfId="0" applyNumberFormat="1" applyFont="1" applyFill="1" applyBorder="1" applyAlignment="1" applyProtection="1">
      <alignment horizontal="center" vertical="center"/>
      <protection/>
    </xf>
    <xf numFmtId="0" fontId="10" fillId="8" borderId="20" xfId="0" applyFont="1" applyFill="1" applyBorder="1" applyAlignment="1" applyProtection="1">
      <alignment horizontal="left"/>
      <protection/>
    </xf>
    <xf numFmtId="0" fontId="3" fillId="26" borderId="0" xfId="0" applyFont="1" applyFill="1" applyBorder="1" applyAlignment="1" applyProtection="1">
      <alignment horizontal="left" vertical="center" wrapText="1"/>
      <protection/>
    </xf>
    <xf numFmtId="0" fontId="10" fillId="8" borderId="18" xfId="0" applyFont="1" applyFill="1" applyBorder="1" applyAlignment="1" applyProtection="1">
      <alignment horizontal="left" wrapText="1"/>
      <protection/>
    </xf>
    <xf numFmtId="0" fontId="10" fillId="8" borderId="23" xfId="0" applyFont="1" applyFill="1" applyBorder="1" applyAlignment="1" applyProtection="1">
      <alignment horizontal="left"/>
      <protection locked="0"/>
    </xf>
    <xf numFmtId="0" fontId="10" fillId="8" borderId="23" xfId="0" applyFont="1" applyFill="1" applyBorder="1" applyAlignment="1" applyProtection="1">
      <alignment horizontal="left"/>
      <protection locked="0"/>
    </xf>
    <xf numFmtId="0" fontId="10" fillId="8" borderId="18" xfId="0" applyFont="1" applyFill="1" applyBorder="1" applyAlignment="1" applyProtection="1">
      <alignment horizontal="right"/>
      <protection/>
    </xf>
    <xf numFmtId="0" fontId="10" fillId="27" borderId="18" xfId="0" applyFont="1" applyFill="1" applyBorder="1" applyAlignment="1" applyProtection="1">
      <alignment horizontal="right"/>
      <protection/>
    </xf>
    <xf numFmtId="0" fontId="10" fillId="8" borderId="2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 applyProtection="1">
      <alignment horizontal="center" vertical="center"/>
      <protection/>
    </xf>
    <xf numFmtId="4" fontId="13" fillId="14" borderId="55" xfId="0" applyNumberFormat="1" applyFont="1" applyFill="1" applyBorder="1" applyAlignment="1" applyProtection="1">
      <alignment horizontal="center" vertical="center"/>
      <protection/>
    </xf>
    <xf numFmtId="4" fontId="13" fillId="14" borderId="62" xfId="0" applyNumberFormat="1" applyFont="1" applyFill="1" applyBorder="1" applyAlignment="1" applyProtection="1">
      <alignment horizontal="center" vertical="center"/>
      <protection/>
    </xf>
    <xf numFmtId="4" fontId="13" fillId="14" borderId="44" xfId="0" applyNumberFormat="1" applyFont="1" applyFill="1" applyBorder="1" applyAlignment="1" applyProtection="1">
      <alignment horizontal="center" vertical="center"/>
      <protection/>
    </xf>
    <xf numFmtId="4" fontId="13" fillId="14" borderId="37" xfId="0" applyNumberFormat="1" applyFont="1" applyFill="1" applyBorder="1" applyAlignment="1" applyProtection="1">
      <alignment horizontal="center" vertical="center"/>
      <protection/>
    </xf>
    <xf numFmtId="4" fontId="13" fillId="14" borderId="25" xfId="0" applyNumberFormat="1" applyFont="1" applyFill="1" applyBorder="1" applyAlignment="1" applyProtection="1">
      <alignment horizontal="center" vertical="center"/>
      <protection/>
    </xf>
    <xf numFmtId="4" fontId="13" fillId="14" borderId="57" xfId="0" applyNumberFormat="1" applyFont="1" applyFill="1" applyBorder="1" applyAlignment="1" applyProtection="1">
      <alignment horizontal="center" vertical="center"/>
      <protection/>
    </xf>
    <xf numFmtId="4" fontId="13" fillId="14" borderId="56" xfId="0" applyNumberFormat="1" applyFont="1" applyFill="1" applyBorder="1" applyAlignment="1" applyProtection="1">
      <alignment horizontal="center" vertical="center"/>
      <protection/>
    </xf>
    <xf numFmtId="4" fontId="13" fillId="14" borderId="32" xfId="0" applyNumberFormat="1" applyFont="1" applyFill="1" applyBorder="1" applyAlignment="1" applyProtection="1">
      <alignment horizontal="center" vertical="center"/>
      <protection/>
    </xf>
    <xf numFmtId="0" fontId="5" fillId="14" borderId="55" xfId="0" applyFont="1" applyFill="1" applyBorder="1" applyAlignment="1" applyProtection="1">
      <alignment vertical="center" wrapText="1"/>
      <protection/>
    </xf>
    <xf numFmtId="0" fontId="0" fillId="0" borderId="62" xfId="0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0" fontId="2" fillId="8" borderId="38" xfId="0" applyFont="1" applyFill="1" applyBorder="1" applyAlignment="1" applyProtection="1">
      <alignment horizontal="left" vertical="center"/>
      <protection/>
    </xf>
    <xf numFmtId="0" fontId="2" fillId="8" borderId="26" xfId="0" applyFont="1" applyFill="1" applyBorder="1" applyAlignment="1" applyProtection="1">
      <alignment horizontal="left" vertical="center"/>
      <protection/>
    </xf>
    <xf numFmtId="0" fontId="2" fillId="8" borderId="66" xfId="0" applyFont="1" applyFill="1" applyBorder="1" applyAlignment="1" applyProtection="1">
      <alignment horizontal="left" vertical="center"/>
      <protection/>
    </xf>
    <xf numFmtId="0" fontId="2" fillId="8" borderId="39" xfId="0" applyFont="1" applyFill="1" applyBorder="1" applyAlignment="1" applyProtection="1">
      <alignment horizontal="left" vertical="center"/>
      <protection/>
    </xf>
    <xf numFmtId="0" fontId="2" fillId="8" borderId="27" xfId="0" applyFont="1" applyFill="1" applyBorder="1" applyAlignment="1" applyProtection="1">
      <alignment horizontal="left" vertical="center"/>
      <protection/>
    </xf>
    <xf numFmtId="0" fontId="2" fillId="8" borderId="47" xfId="0" applyFont="1" applyFill="1" applyBorder="1" applyAlignment="1" applyProtection="1">
      <alignment horizontal="left" vertical="center"/>
      <protection/>
    </xf>
    <xf numFmtId="0" fontId="6" fillId="14" borderId="55" xfId="0" applyFont="1" applyFill="1" applyBorder="1" applyAlignment="1" applyProtection="1">
      <alignment horizontal="center" vertical="center"/>
      <protection/>
    </xf>
    <xf numFmtId="0" fontId="6" fillId="14" borderId="36" xfId="0" applyFont="1" applyFill="1" applyBorder="1" applyAlignment="1" applyProtection="1">
      <alignment horizontal="center" vertical="center"/>
      <protection/>
    </xf>
    <xf numFmtId="0" fontId="6" fillId="14" borderId="44" xfId="0" applyFont="1" applyFill="1" applyBorder="1" applyAlignment="1" applyProtection="1">
      <alignment horizontal="left" vertical="center"/>
      <protection/>
    </xf>
    <xf numFmtId="0" fontId="6" fillId="14" borderId="63" xfId="0" applyFont="1" applyFill="1" applyBorder="1" applyAlignment="1" applyProtection="1">
      <alignment horizontal="left" vertical="center"/>
      <protection/>
    </xf>
    <xf numFmtId="4" fontId="2" fillId="8" borderId="39" xfId="0" applyNumberFormat="1" applyFont="1" applyFill="1" applyBorder="1" applyAlignment="1" applyProtection="1">
      <alignment horizontal="left"/>
      <protection locked="0"/>
    </xf>
    <xf numFmtId="4" fontId="2" fillId="8" borderId="27" xfId="0" applyNumberFormat="1" applyFont="1" applyFill="1" applyBorder="1" applyAlignment="1" applyProtection="1">
      <alignment horizontal="left"/>
      <protection locked="0"/>
    </xf>
    <xf numFmtId="4" fontId="2" fillId="8" borderId="47" xfId="0" applyNumberFormat="1" applyFont="1" applyFill="1" applyBorder="1" applyAlignment="1" applyProtection="1">
      <alignment horizontal="left"/>
      <protection locked="0"/>
    </xf>
    <xf numFmtId="4" fontId="3" fillId="8" borderId="41" xfId="0" applyNumberFormat="1" applyFont="1" applyFill="1" applyBorder="1" applyAlignment="1" applyProtection="1">
      <alignment horizontal="left"/>
      <protection locked="0"/>
    </xf>
    <xf numFmtId="4" fontId="3" fillId="8" borderId="42" xfId="0" applyNumberFormat="1" applyFont="1" applyFill="1" applyBorder="1" applyAlignment="1" applyProtection="1">
      <alignment horizontal="left"/>
      <protection locked="0"/>
    </xf>
    <xf numFmtId="4" fontId="3" fillId="8" borderId="48" xfId="0" applyNumberFormat="1" applyFont="1" applyFill="1" applyBorder="1" applyAlignment="1" applyProtection="1">
      <alignment horizontal="left"/>
      <protection locked="0"/>
    </xf>
    <xf numFmtId="4" fontId="3" fillId="8" borderId="53" xfId="0" applyNumberFormat="1" applyFont="1" applyFill="1" applyBorder="1" applyAlignment="1" applyProtection="1">
      <alignment horizontal="left"/>
      <protection locked="0"/>
    </xf>
    <xf numFmtId="4" fontId="3" fillId="8" borderId="49" xfId="0" applyNumberFormat="1" applyFont="1" applyFill="1" applyBorder="1" applyAlignment="1" applyProtection="1">
      <alignment horizontal="left"/>
      <protection locked="0"/>
    </xf>
    <xf numFmtId="4" fontId="3" fillId="8" borderId="61" xfId="0" applyNumberFormat="1" applyFont="1" applyFill="1" applyBorder="1" applyAlignment="1" applyProtection="1">
      <alignment horizontal="left"/>
      <protection locked="0"/>
    </xf>
    <xf numFmtId="0" fontId="3" fillId="14" borderId="55" xfId="0" applyFont="1" applyFill="1" applyBorder="1" applyAlignment="1" applyProtection="1">
      <alignment horizontal="center"/>
      <protection/>
    </xf>
    <xf numFmtId="0" fontId="3" fillId="14" borderId="62" xfId="0" applyFont="1" applyFill="1" applyBorder="1" applyAlignment="1" applyProtection="1">
      <alignment horizontal="center"/>
      <protection/>
    </xf>
    <xf numFmtId="0" fontId="3" fillId="14" borderId="44" xfId="0" applyFont="1" applyFill="1" applyBorder="1" applyAlignment="1" applyProtection="1">
      <alignment horizontal="center"/>
      <protection/>
    </xf>
    <xf numFmtId="0" fontId="3" fillId="14" borderId="36" xfId="0" applyFont="1" applyFill="1" applyBorder="1" applyAlignment="1" applyProtection="1">
      <alignment horizontal="left"/>
      <protection/>
    </xf>
    <xf numFmtId="0" fontId="3" fillId="14" borderId="0" xfId="0" applyFont="1" applyFill="1" applyBorder="1" applyAlignment="1" applyProtection="1">
      <alignment horizontal="left"/>
      <protection/>
    </xf>
    <xf numFmtId="0" fontId="3" fillId="14" borderId="63" xfId="0" applyFont="1" applyFill="1" applyBorder="1" applyAlignment="1" applyProtection="1">
      <alignment horizontal="left"/>
      <protection/>
    </xf>
    <xf numFmtId="4" fontId="2" fillId="8" borderId="38" xfId="0" applyNumberFormat="1" applyFont="1" applyFill="1" applyBorder="1" applyAlignment="1" applyProtection="1">
      <alignment horizontal="left"/>
      <protection locked="0"/>
    </xf>
    <xf numFmtId="4" fontId="2" fillId="8" borderId="26" xfId="0" applyNumberFormat="1" applyFont="1" applyFill="1" applyBorder="1" applyAlignment="1" applyProtection="1">
      <alignment horizontal="left"/>
      <protection locked="0"/>
    </xf>
    <xf numFmtId="4" fontId="2" fillId="8" borderId="66" xfId="0" applyNumberFormat="1" applyFont="1" applyFill="1" applyBorder="1" applyAlignment="1" applyProtection="1">
      <alignment horizontal="left"/>
      <protection locked="0"/>
    </xf>
    <xf numFmtId="4" fontId="2" fillId="8" borderId="39" xfId="0" applyNumberFormat="1" applyFont="1" applyFill="1" applyBorder="1" applyAlignment="1" applyProtection="1">
      <alignment horizontal="left"/>
      <protection locked="0"/>
    </xf>
    <xf numFmtId="0" fontId="10" fillId="8" borderId="36" xfId="0" applyFont="1" applyFill="1" applyBorder="1" applyAlignment="1" applyProtection="1">
      <alignment horizontal="left"/>
      <protection locked="0"/>
    </xf>
    <xf numFmtId="0" fontId="10" fillId="8" borderId="0" xfId="0" applyFont="1" applyFill="1" applyBorder="1" applyAlignment="1" applyProtection="1">
      <alignment horizontal="left"/>
      <protection locked="0"/>
    </xf>
    <xf numFmtId="0" fontId="10" fillId="8" borderId="63" xfId="0" applyFont="1" applyFill="1" applyBorder="1" applyAlignment="1" applyProtection="1">
      <alignment horizontal="left"/>
      <protection locked="0"/>
    </xf>
    <xf numFmtId="0" fontId="10" fillId="8" borderId="37" xfId="0" applyFont="1" applyFill="1" applyBorder="1" applyAlignment="1" applyProtection="1">
      <alignment horizontal="left"/>
      <protection locked="0"/>
    </xf>
    <xf numFmtId="0" fontId="10" fillId="8" borderId="25" xfId="0" applyFont="1" applyFill="1" applyBorder="1" applyAlignment="1" applyProtection="1">
      <alignment horizontal="left"/>
      <protection locked="0"/>
    </xf>
    <xf numFmtId="0" fontId="10" fillId="8" borderId="57" xfId="0" applyFont="1" applyFill="1" applyBorder="1" applyAlignment="1" applyProtection="1">
      <alignment horizontal="left"/>
      <protection locked="0"/>
    </xf>
    <xf numFmtId="4" fontId="8" fillId="14" borderId="55" xfId="0" applyNumberFormat="1" applyFont="1" applyFill="1" applyBorder="1" applyAlignment="1">
      <alignment horizontal="center" vertical="center"/>
    </xf>
    <xf numFmtId="4" fontId="8" fillId="14" borderId="62" xfId="0" applyNumberFormat="1" applyFont="1" applyFill="1" applyBorder="1" applyAlignment="1">
      <alignment horizontal="center" vertical="center"/>
    </xf>
    <xf numFmtId="4" fontId="8" fillId="14" borderId="44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horizontal="center" vertical="center"/>
    </xf>
    <xf numFmtId="0" fontId="21" fillId="14" borderId="56" xfId="89" applyFont="1" applyFill="1" applyBorder="1" applyAlignment="1">
      <alignment horizontal="center" wrapText="1"/>
      <protection/>
    </xf>
    <xf numFmtId="0" fontId="21" fillId="14" borderId="32" xfId="89" applyFont="1" applyFill="1" applyBorder="1" applyAlignment="1">
      <alignment horizontal="center" wrapText="1"/>
      <protection/>
    </xf>
    <xf numFmtId="0" fontId="3" fillId="14" borderId="53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/>
    </xf>
    <xf numFmtId="0" fontId="2" fillId="8" borderId="39" xfId="0" applyFont="1" applyFill="1" applyBorder="1" applyAlignment="1" applyProtection="1">
      <alignment horizontal="left" vertical="center"/>
      <protection locked="0"/>
    </xf>
    <xf numFmtId="0" fontId="2" fillId="8" borderId="47" xfId="0" applyFont="1" applyFill="1" applyBorder="1" applyAlignment="1" applyProtection="1">
      <alignment horizontal="left" vertical="center"/>
      <protection locked="0"/>
    </xf>
    <xf numFmtId="0" fontId="2" fillId="8" borderId="39" xfId="0" applyFont="1" applyFill="1" applyBorder="1" applyAlignment="1" applyProtection="1">
      <alignment horizontal="left" vertical="center"/>
      <protection locked="0"/>
    </xf>
    <xf numFmtId="0" fontId="2" fillId="8" borderId="41" xfId="0" applyFont="1" applyFill="1" applyBorder="1" applyAlignment="1" applyProtection="1">
      <alignment horizontal="left" vertical="center"/>
      <protection locked="0"/>
    </xf>
    <xf numFmtId="0" fontId="2" fillId="8" borderId="48" xfId="0" applyFont="1" applyFill="1" applyBorder="1" applyAlignment="1" applyProtection="1">
      <alignment horizontal="left" vertical="center"/>
      <protection locked="0"/>
    </xf>
    <xf numFmtId="0" fontId="2" fillId="8" borderId="47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>
      <alignment horizontal="center" vertical="center"/>
    </xf>
    <xf numFmtId="0" fontId="2" fillId="8" borderId="129" xfId="0" applyFont="1" applyFill="1" applyBorder="1" applyAlignment="1" applyProtection="1">
      <alignment horizontal="left" vertical="center"/>
      <protection locked="0"/>
    </xf>
    <xf numFmtId="0" fontId="2" fillId="8" borderId="130" xfId="0" applyFont="1" applyFill="1" applyBorder="1" applyAlignment="1" applyProtection="1">
      <alignment horizontal="left" vertical="center"/>
      <protection locked="0"/>
    </xf>
    <xf numFmtId="0" fontId="2" fillId="8" borderId="130" xfId="0" applyFont="1" applyFill="1" applyBorder="1" applyAlignment="1" applyProtection="1">
      <alignment horizontal="left" vertical="center"/>
      <protection locked="0"/>
    </xf>
    <xf numFmtId="0" fontId="3" fillId="8" borderId="2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53" xfId="0" applyFont="1" applyFill="1" applyBorder="1" applyAlignment="1" applyProtection="1">
      <alignment horizontal="left" vertical="center"/>
      <protection/>
    </xf>
    <xf numFmtId="0" fontId="3" fillId="8" borderId="49" xfId="0" applyFont="1" applyFill="1" applyBorder="1" applyAlignment="1" applyProtection="1">
      <alignment horizontal="left" vertical="center"/>
      <protection/>
    </xf>
    <xf numFmtId="0" fontId="22" fillId="14" borderId="25" xfId="89" applyFont="1" applyFill="1" applyBorder="1" applyAlignment="1">
      <alignment horizontal="center" vertical="center" wrapText="1"/>
      <protection/>
    </xf>
    <xf numFmtId="0" fontId="22" fillId="14" borderId="57" xfId="89" applyFont="1" applyFill="1" applyBorder="1" applyAlignment="1">
      <alignment horizontal="center" vertical="center" wrapText="1"/>
      <protection/>
    </xf>
    <xf numFmtId="0" fontId="22" fillId="14" borderId="136" xfId="89" applyFont="1" applyFill="1" applyBorder="1" applyAlignment="1">
      <alignment horizontal="center" vertical="center" wrapText="1"/>
      <protection/>
    </xf>
    <xf numFmtId="0" fontId="22" fillId="14" borderId="49" xfId="89" applyFont="1" applyFill="1" applyBorder="1" applyAlignment="1">
      <alignment horizontal="center" vertical="center" wrapText="1"/>
      <protection/>
    </xf>
    <xf numFmtId="0" fontId="22" fillId="14" borderId="137" xfId="89" applyFont="1" applyFill="1" applyBorder="1" applyAlignment="1">
      <alignment horizontal="center" vertical="center" wrapText="1"/>
      <protection/>
    </xf>
    <xf numFmtId="0" fontId="22" fillId="14" borderId="53" xfId="89" applyFont="1" applyFill="1" applyBorder="1" applyAlignment="1">
      <alignment horizontal="center" vertical="center" wrapText="1"/>
      <protection/>
    </xf>
    <xf numFmtId="0" fontId="22" fillId="14" borderId="61" xfId="89" applyFont="1" applyFill="1" applyBorder="1" applyAlignment="1">
      <alignment horizontal="center" vertical="center" wrapText="1"/>
      <protection/>
    </xf>
    <xf numFmtId="0" fontId="22" fillId="14" borderId="55" xfId="89" applyFont="1" applyFill="1" applyBorder="1" applyAlignment="1">
      <alignment horizontal="center" vertical="center" wrapText="1"/>
      <protection/>
    </xf>
    <xf numFmtId="0" fontId="22" fillId="14" borderId="44" xfId="89" applyFont="1" applyFill="1" applyBorder="1" applyAlignment="1">
      <alignment horizontal="center" vertical="center" wrapText="1"/>
      <protection/>
    </xf>
    <xf numFmtId="0" fontId="22" fillId="14" borderId="37" xfId="89" applyFont="1" applyFill="1" applyBorder="1" applyAlignment="1">
      <alignment horizontal="center" vertical="center" wrapText="1"/>
      <protection/>
    </xf>
    <xf numFmtId="0" fontId="22" fillId="14" borderId="138" xfId="89" applyFont="1" applyFill="1" applyBorder="1" applyAlignment="1">
      <alignment horizontal="center" vertical="center" wrapText="1"/>
      <protection/>
    </xf>
    <xf numFmtId="0" fontId="2" fillId="8" borderId="53" xfId="0" applyFont="1" applyFill="1" applyBorder="1" applyAlignment="1" applyProtection="1">
      <alignment horizontal="left" vertical="center"/>
      <protection/>
    </xf>
    <xf numFmtId="0" fontId="2" fillId="8" borderId="49" xfId="0" applyFont="1" applyFill="1" applyBorder="1" applyAlignment="1" applyProtection="1">
      <alignment horizontal="left" vertical="center"/>
      <protection/>
    </xf>
    <xf numFmtId="0" fontId="3" fillId="14" borderId="36" xfId="0" applyFont="1" applyFill="1" applyBorder="1" applyAlignment="1">
      <alignment horizontal="center" vertical="center"/>
    </xf>
    <xf numFmtId="0" fontId="3" fillId="14" borderId="63" xfId="0" applyFont="1" applyFill="1" applyBorder="1" applyAlignment="1">
      <alignment horizontal="center" vertical="center"/>
    </xf>
    <xf numFmtId="0" fontId="3" fillId="14" borderId="37" xfId="0" applyFont="1" applyFill="1" applyBorder="1" applyAlignment="1">
      <alignment horizontal="center" vertical="center"/>
    </xf>
    <xf numFmtId="0" fontId="3" fillId="14" borderId="57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22" fillId="14" borderId="62" xfId="89" applyFont="1" applyFill="1" applyBorder="1" applyAlignment="1">
      <alignment horizontal="center" vertical="center" wrapText="1"/>
      <protection/>
    </xf>
    <xf numFmtId="4" fontId="2" fillId="8" borderId="38" xfId="0" applyNumberFormat="1" applyFont="1" applyFill="1" applyBorder="1" applyAlignment="1" applyProtection="1">
      <alignment horizontal="left" vertical="center"/>
      <protection locked="0"/>
    </xf>
    <xf numFmtId="4" fontId="2" fillId="8" borderId="66" xfId="0" applyNumberFormat="1" applyFont="1" applyFill="1" applyBorder="1" applyAlignment="1" applyProtection="1">
      <alignment horizontal="left" vertical="center"/>
      <protection locked="0"/>
    </xf>
    <xf numFmtId="0" fontId="3" fillId="8" borderId="43" xfId="0" applyFont="1" applyFill="1" applyBorder="1" applyAlignment="1">
      <alignment horizontal="left" vertical="center"/>
    </xf>
    <xf numFmtId="0" fontId="3" fillId="8" borderId="29" xfId="0" applyFont="1" applyFill="1" applyBorder="1" applyAlignment="1">
      <alignment horizontal="left" vertical="center"/>
    </xf>
    <xf numFmtId="0" fontId="3" fillId="8" borderId="45" xfId="0" applyFont="1" applyFill="1" applyBorder="1" applyAlignment="1">
      <alignment horizontal="left" vertical="center"/>
    </xf>
    <xf numFmtId="0" fontId="22" fillId="14" borderId="53" xfId="89" applyFont="1" applyFill="1" applyBorder="1" applyAlignment="1">
      <alignment horizontal="left" vertical="center" wrapText="1"/>
      <protection/>
    </xf>
    <xf numFmtId="0" fontId="22" fillId="14" borderId="61" xfId="89" applyFont="1" applyFill="1" applyBorder="1" applyAlignment="1">
      <alignment horizontal="left" vertical="center" wrapText="1"/>
      <protection/>
    </xf>
    <xf numFmtId="4" fontId="2" fillId="8" borderId="39" xfId="0" applyNumberFormat="1" applyFont="1" applyFill="1" applyBorder="1" applyAlignment="1" applyProtection="1">
      <alignment horizontal="left" vertical="center"/>
      <protection locked="0"/>
    </xf>
    <xf numFmtId="4" fontId="2" fillId="8" borderId="47" xfId="0" applyNumberFormat="1" applyFont="1" applyFill="1" applyBorder="1" applyAlignment="1" applyProtection="1">
      <alignment horizontal="left" vertical="center"/>
      <protection locked="0"/>
    </xf>
    <xf numFmtId="4" fontId="2" fillId="8" borderId="39" xfId="0" applyNumberFormat="1" applyFont="1" applyFill="1" applyBorder="1" applyAlignment="1" applyProtection="1">
      <alignment horizontal="center" vertical="center"/>
      <protection locked="0"/>
    </xf>
    <xf numFmtId="4" fontId="2" fillId="8" borderId="47" xfId="0" applyNumberFormat="1" applyFont="1" applyFill="1" applyBorder="1" applyAlignment="1" applyProtection="1">
      <alignment horizontal="center" vertical="center"/>
      <protection locked="0"/>
    </xf>
    <xf numFmtId="4" fontId="2" fillId="8" borderId="41" xfId="0" applyNumberFormat="1" applyFont="1" applyFill="1" applyBorder="1" applyAlignment="1" applyProtection="1">
      <alignment horizontal="left" vertical="center"/>
      <protection locked="0"/>
    </xf>
    <xf numFmtId="4" fontId="2" fillId="8" borderId="48" xfId="0" applyNumberFormat="1" applyFont="1" applyFill="1" applyBorder="1" applyAlignment="1" applyProtection="1">
      <alignment horizontal="left" vertical="center"/>
      <protection locked="0"/>
    </xf>
    <xf numFmtId="0" fontId="3" fillId="14" borderId="55" xfId="0" applyFont="1" applyFill="1" applyBorder="1" applyAlignment="1" applyProtection="1">
      <alignment horizontal="center" vertical="center"/>
      <protection/>
    </xf>
    <xf numFmtId="0" fontId="3" fillId="14" borderId="44" xfId="0" applyFont="1" applyFill="1" applyBorder="1" applyAlignment="1" applyProtection="1">
      <alignment horizontal="center" vertical="center"/>
      <protection/>
    </xf>
    <xf numFmtId="0" fontId="3" fillId="8" borderId="43" xfId="0" applyFont="1" applyFill="1" applyBorder="1" applyAlignment="1" applyProtection="1">
      <alignment horizontal="center" vertical="center"/>
      <protection/>
    </xf>
    <xf numFmtId="0" fontId="3" fillId="8" borderId="29" xfId="0" applyFont="1" applyFill="1" applyBorder="1" applyAlignment="1" applyProtection="1">
      <alignment horizontal="center" vertical="center"/>
      <protection/>
    </xf>
    <xf numFmtId="0" fontId="3" fillId="8" borderId="45" xfId="0" applyFont="1" applyFill="1" applyBorder="1" applyAlignment="1" applyProtection="1">
      <alignment horizontal="center" vertical="center"/>
      <protection/>
    </xf>
    <xf numFmtId="0" fontId="22" fillId="14" borderId="55" xfId="89" applyFont="1" applyFill="1" applyBorder="1" applyAlignment="1">
      <alignment horizontal="center" wrapText="1"/>
      <protection/>
    </xf>
    <xf numFmtId="0" fontId="22" fillId="14" borderId="62" xfId="89" applyFont="1" applyFill="1" applyBorder="1" applyAlignment="1">
      <alignment horizontal="center" wrapText="1"/>
      <protection/>
    </xf>
    <xf numFmtId="0" fontId="22" fillId="14" borderId="44" xfId="89" applyFont="1" applyFill="1" applyBorder="1" applyAlignment="1">
      <alignment horizontal="center" wrapText="1"/>
      <protection/>
    </xf>
    <xf numFmtId="0" fontId="3" fillId="14" borderId="37" xfId="0" applyFont="1" applyFill="1" applyBorder="1" applyAlignment="1">
      <alignment horizontal="center"/>
    </xf>
    <xf numFmtId="0" fontId="3" fillId="14" borderId="25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22" fillId="14" borderId="53" xfId="89" applyFont="1" applyFill="1" applyBorder="1" applyAlignment="1">
      <alignment horizontal="center" wrapText="1"/>
      <protection/>
    </xf>
    <xf numFmtId="0" fontId="22" fillId="14" borderId="49" xfId="89" applyFont="1" applyFill="1" applyBorder="1" applyAlignment="1">
      <alignment horizontal="center" wrapText="1"/>
      <protection/>
    </xf>
    <xf numFmtId="0" fontId="22" fillId="14" borderId="61" xfId="89" applyFont="1" applyFill="1" applyBorder="1" applyAlignment="1">
      <alignment horizontal="center" wrapText="1"/>
      <protection/>
    </xf>
    <xf numFmtId="0" fontId="3" fillId="8" borderId="43" xfId="0" applyFont="1" applyFill="1" applyBorder="1" applyAlignment="1">
      <alignment horizontal="left"/>
    </xf>
    <xf numFmtId="0" fontId="3" fillId="8" borderId="45" xfId="0" applyFont="1" applyFill="1" applyBorder="1" applyAlignment="1">
      <alignment horizontal="left"/>
    </xf>
    <xf numFmtId="0" fontId="0" fillId="0" borderId="61" xfId="0" applyBorder="1" applyAlignment="1">
      <alignment horizontal="center" vertical="center"/>
    </xf>
    <xf numFmtId="0" fontId="3" fillId="8" borderId="29" xfId="0" applyFont="1" applyFill="1" applyBorder="1" applyAlignment="1">
      <alignment horizontal="left"/>
    </xf>
    <xf numFmtId="0" fontId="5" fillId="14" borderId="53" xfId="0" applyFont="1" applyFill="1" applyBorder="1" applyAlignment="1">
      <alignment horizontal="center" vertical="center"/>
    </xf>
    <xf numFmtId="0" fontId="5" fillId="14" borderId="49" xfId="0" applyFont="1" applyFill="1" applyBorder="1" applyAlignment="1">
      <alignment horizontal="center" vertical="center"/>
    </xf>
    <xf numFmtId="0" fontId="5" fillId="14" borderId="61" xfId="0" applyFont="1" applyFill="1" applyBorder="1" applyAlignment="1">
      <alignment horizontal="center" vertical="center"/>
    </xf>
    <xf numFmtId="4" fontId="3" fillId="8" borderId="43" xfId="0" applyNumberFormat="1" applyFont="1" applyFill="1" applyBorder="1" applyAlignment="1">
      <alignment horizontal="left"/>
    </xf>
    <xf numFmtId="4" fontId="3" fillId="8" borderId="45" xfId="0" applyNumberFormat="1" applyFont="1" applyFill="1" applyBorder="1" applyAlignment="1">
      <alignment horizontal="left"/>
    </xf>
    <xf numFmtId="4" fontId="2" fillId="8" borderId="50" xfId="0" applyNumberFormat="1" applyFont="1" applyFill="1" applyBorder="1" applyAlignment="1" applyProtection="1">
      <alignment horizontal="left" vertical="center"/>
      <protection locked="0"/>
    </xf>
    <xf numFmtId="4" fontId="2" fillId="8" borderId="52" xfId="0" applyNumberFormat="1" applyFont="1" applyFill="1" applyBorder="1" applyAlignment="1" applyProtection="1">
      <alignment horizontal="left" vertical="center"/>
      <protection locked="0"/>
    </xf>
    <xf numFmtId="4" fontId="2" fillId="8" borderId="39" xfId="0" applyNumberFormat="1" applyFont="1" applyFill="1" applyBorder="1" applyAlignment="1" applyProtection="1">
      <alignment horizontal="left" vertical="center"/>
      <protection locked="0"/>
    </xf>
    <xf numFmtId="4" fontId="2" fillId="8" borderId="47" xfId="0" applyNumberFormat="1" applyFont="1" applyFill="1" applyBorder="1" applyAlignment="1" applyProtection="1">
      <alignment horizontal="left" vertical="center"/>
      <protection locked="0"/>
    </xf>
    <xf numFmtId="4" fontId="2" fillId="8" borderId="41" xfId="0" applyNumberFormat="1" applyFont="1" applyFill="1" applyBorder="1" applyAlignment="1" applyProtection="1">
      <alignment horizontal="left" vertical="center"/>
      <protection locked="0"/>
    </xf>
    <xf numFmtId="4" fontId="2" fillId="8" borderId="48" xfId="0" applyNumberFormat="1" applyFont="1" applyFill="1" applyBorder="1" applyAlignment="1" applyProtection="1">
      <alignment horizontal="left" vertical="center"/>
      <protection locked="0"/>
    </xf>
    <xf numFmtId="0" fontId="2" fillId="14" borderId="55" xfId="0" applyFont="1" applyFill="1" applyBorder="1" applyAlignment="1" applyProtection="1">
      <alignment horizontal="center" vertical="center"/>
      <protection/>
    </xf>
    <xf numFmtId="0" fontId="2" fillId="14" borderId="44" xfId="0" applyFont="1" applyFill="1" applyBorder="1" applyAlignment="1" applyProtection="1">
      <alignment horizontal="center" vertical="center"/>
      <protection/>
    </xf>
    <xf numFmtId="0" fontId="3" fillId="14" borderId="53" xfId="0" applyFont="1" applyFill="1" applyBorder="1" applyAlignment="1" applyProtection="1">
      <alignment horizontal="center" vertical="center"/>
      <protection/>
    </xf>
    <xf numFmtId="0" fontId="3" fillId="14" borderId="49" xfId="0" applyFont="1" applyFill="1" applyBorder="1" applyAlignment="1" applyProtection="1">
      <alignment horizontal="center" vertical="center"/>
      <protection/>
    </xf>
    <xf numFmtId="0" fontId="3" fillId="14" borderId="61" xfId="0" applyFont="1" applyFill="1" applyBorder="1" applyAlignment="1" applyProtection="1">
      <alignment horizontal="center" vertical="center"/>
      <protection/>
    </xf>
    <xf numFmtId="0" fontId="21" fillId="14" borderId="56" xfId="89" applyFont="1" applyFill="1" applyBorder="1" applyAlignment="1" applyProtection="1">
      <alignment horizontal="center" wrapText="1"/>
      <protection/>
    </xf>
    <xf numFmtId="0" fontId="21" fillId="14" borderId="32" xfId="89" applyFont="1" applyFill="1" applyBorder="1" applyAlignment="1" applyProtection="1">
      <alignment horizontal="center" wrapText="1"/>
      <protection/>
    </xf>
    <xf numFmtId="0" fontId="3" fillId="8" borderId="53" xfId="0" applyFont="1" applyFill="1" applyBorder="1" applyAlignment="1">
      <alignment horizontal="left"/>
    </xf>
    <xf numFmtId="0" fontId="3" fillId="8" borderId="61" xfId="0" applyFont="1" applyFill="1" applyBorder="1" applyAlignment="1">
      <alignment horizontal="left"/>
    </xf>
    <xf numFmtId="0" fontId="3" fillId="27" borderId="43" xfId="0" applyFont="1" applyFill="1" applyBorder="1" applyAlignment="1">
      <alignment horizontal="left"/>
    </xf>
    <xf numFmtId="0" fontId="3" fillId="27" borderId="45" xfId="0" applyFont="1" applyFill="1" applyBorder="1" applyAlignment="1">
      <alignment horizontal="left"/>
    </xf>
    <xf numFmtId="0" fontId="5" fillId="27" borderId="43" xfId="0" applyFont="1" applyFill="1" applyBorder="1" applyAlignment="1">
      <alignment horizontal="left"/>
    </xf>
    <xf numFmtId="0" fontId="5" fillId="27" borderId="45" xfId="0" applyFont="1" applyFill="1" applyBorder="1" applyAlignment="1">
      <alignment horizontal="left"/>
    </xf>
    <xf numFmtId="4" fontId="5" fillId="14" borderId="53" xfId="0" applyNumberFormat="1" applyFont="1" applyFill="1" applyBorder="1" applyAlignment="1" applyProtection="1">
      <alignment horizontal="left" vertical="center"/>
      <protection/>
    </xf>
    <xf numFmtId="4" fontId="5" fillId="14" borderId="61" xfId="0" applyNumberFormat="1" applyFont="1" applyFill="1" applyBorder="1" applyAlignment="1" applyProtection="1">
      <alignment horizontal="left" vertical="center"/>
      <protection/>
    </xf>
    <xf numFmtId="3" fontId="4" fillId="14" borderId="0" xfId="0" applyNumberFormat="1" applyFont="1" applyFill="1" applyBorder="1" applyAlignment="1" applyProtection="1">
      <alignment horizontal="center" vertical="center"/>
      <protection/>
    </xf>
    <xf numFmtId="4" fontId="3" fillId="26" borderId="0" xfId="0" applyNumberFormat="1" applyFont="1" applyFill="1" applyBorder="1" applyAlignment="1" applyProtection="1">
      <alignment horizontal="left" vertical="center" wrapText="1"/>
      <protection/>
    </xf>
    <xf numFmtId="4" fontId="2" fillId="8" borderId="0" xfId="0" applyNumberFormat="1" applyFont="1" applyFill="1" applyBorder="1" applyAlignment="1" applyProtection="1">
      <alignment horizontal="center" vertical="center"/>
      <protection/>
    </xf>
    <xf numFmtId="4" fontId="6" fillId="14" borderId="53" xfId="0" applyNumberFormat="1" applyFont="1" applyFill="1" applyBorder="1" applyAlignment="1" applyProtection="1">
      <alignment horizontal="center" vertical="center"/>
      <protection/>
    </xf>
    <xf numFmtId="4" fontId="6" fillId="14" borderId="61" xfId="0" applyNumberFormat="1" applyFont="1" applyFill="1" applyBorder="1" applyAlignment="1" applyProtection="1">
      <alignment horizontal="center" vertical="center"/>
      <protection/>
    </xf>
    <xf numFmtId="4" fontId="5" fillId="14" borderId="53" xfId="0" applyNumberFormat="1" applyFont="1" applyFill="1" applyBorder="1" applyAlignment="1" applyProtection="1">
      <alignment vertical="center"/>
      <protection/>
    </xf>
    <xf numFmtId="4" fontId="5" fillId="14" borderId="61" xfId="0" applyNumberFormat="1" applyFont="1" applyFill="1" applyBorder="1" applyAlignment="1" applyProtection="1">
      <alignment vertical="center"/>
      <protection/>
    </xf>
    <xf numFmtId="4" fontId="53" fillId="8" borderId="139" xfId="0" applyNumberFormat="1" applyFont="1" applyFill="1" applyBorder="1" applyAlignment="1" applyProtection="1">
      <alignment horizontal="right" vertical="center"/>
      <protection/>
    </xf>
    <xf numFmtId="4" fontId="53" fillId="8" borderId="140" xfId="0" applyNumberFormat="1" applyFont="1" applyFill="1" applyBorder="1" applyAlignment="1" applyProtection="1">
      <alignment horizontal="right" vertical="center"/>
      <protection/>
    </xf>
    <xf numFmtId="4" fontId="53" fillId="8" borderId="141" xfId="0" applyNumberFormat="1" applyFont="1" applyFill="1" applyBorder="1" applyAlignment="1" applyProtection="1">
      <alignment horizontal="right" vertical="center"/>
      <protection/>
    </xf>
    <xf numFmtId="4" fontId="5" fillId="28" borderId="43" xfId="0" applyNumberFormat="1" applyFont="1" applyFill="1" applyBorder="1" applyAlignment="1" applyProtection="1">
      <alignment horizontal="left" vertical="center"/>
      <protection/>
    </xf>
    <xf numFmtId="4" fontId="5" fillId="28" borderId="45" xfId="0" applyNumberFormat="1" applyFont="1" applyFill="1" applyBorder="1" applyAlignment="1" applyProtection="1">
      <alignment horizontal="left" vertical="center"/>
      <protection/>
    </xf>
    <xf numFmtId="4" fontId="3" fillId="5" borderId="53" xfId="0" applyNumberFormat="1" applyFont="1" applyFill="1" applyBorder="1" applyAlignment="1" applyProtection="1">
      <alignment vertical="center"/>
      <protection/>
    </xf>
    <xf numFmtId="4" fontId="3" fillId="5" borderId="61" xfId="0" applyNumberFormat="1" applyFont="1" applyFill="1" applyBorder="1" applyAlignment="1" applyProtection="1">
      <alignment vertical="center"/>
      <protection/>
    </xf>
    <xf numFmtId="4" fontId="5" fillId="5" borderId="53" xfId="0" applyNumberFormat="1" applyFont="1" applyFill="1" applyBorder="1" applyAlignment="1" applyProtection="1">
      <alignment horizontal="left" vertical="center"/>
      <protection/>
    </xf>
    <xf numFmtId="4" fontId="5" fillId="5" borderId="61" xfId="0" applyNumberFormat="1" applyFont="1" applyFill="1" applyBorder="1" applyAlignment="1" applyProtection="1">
      <alignment horizontal="left" vertical="center"/>
      <protection/>
    </xf>
    <xf numFmtId="4" fontId="15" fillId="28" borderId="43" xfId="0" applyNumberFormat="1" applyFont="1" applyFill="1" applyBorder="1" applyAlignment="1" applyProtection="1">
      <alignment horizontal="left"/>
      <protection/>
    </xf>
    <xf numFmtId="4" fontId="15" fillId="28" borderId="45" xfId="0" applyNumberFormat="1" applyFont="1" applyFill="1" applyBorder="1" applyAlignment="1" applyProtection="1">
      <alignment horizontal="left"/>
      <protection/>
    </xf>
    <xf numFmtId="4" fontId="5" fillId="17" borderId="53" xfId="0" applyNumberFormat="1" applyFont="1" applyFill="1" applyBorder="1" applyAlignment="1" applyProtection="1">
      <alignment horizontal="left" vertical="center"/>
      <protection/>
    </xf>
    <xf numFmtId="4" fontId="5" fillId="17" borderId="61" xfId="0" applyNumberFormat="1" applyFont="1" applyFill="1" applyBorder="1" applyAlignment="1" applyProtection="1">
      <alignment horizontal="left" vertical="center"/>
      <protection/>
    </xf>
    <xf numFmtId="4" fontId="5" fillId="29" borderId="43" xfId="0" applyNumberFormat="1" applyFont="1" applyFill="1" applyBorder="1" applyAlignment="1" applyProtection="1">
      <alignment horizontal="left" vertical="center"/>
      <protection/>
    </xf>
    <xf numFmtId="4" fontId="5" fillId="29" borderId="45" xfId="0" applyNumberFormat="1" applyFont="1" applyFill="1" applyBorder="1" applyAlignment="1" applyProtection="1">
      <alignment horizontal="left" vertical="center"/>
      <protection/>
    </xf>
    <xf numFmtId="4" fontId="10" fillId="8" borderId="20" xfId="0" applyNumberFormat="1" applyFont="1" applyFill="1" applyBorder="1" applyAlignment="1" applyProtection="1">
      <alignment horizontal="left"/>
      <protection/>
    </xf>
  </cellXfs>
  <cellStyles count="107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álculo" xfId="59"/>
    <cellStyle name="Celda de comprobación" xfId="60"/>
    <cellStyle name="Celda vinculada" xfId="61"/>
    <cellStyle name="Check Cell 2" xfId="62"/>
    <cellStyle name="Comma 2" xfId="63"/>
    <cellStyle name="Comma 3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Incorrecto" xfId="80"/>
    <cellStyle name="Input 2" xfId="81"/>
    <cellStyle name="Linked Cell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rmal 2" xfId="89"/>
    <cellStyle name="Normal 3" xfId="90"/>
    <cellStyle name="Normal 3 2" xfId="91"/>
    <cellStyle name="Normal 3 2 2" xfId="92"/>
    <cellStyle name="Normal 3 3" xfId="93"/>
    <cellStyle name="Normal 3 4" xfId="94"/>
    <cellStyle name="Normal 3_Deudas a CP" xfId="95"/>
    <cellStyle name="Normal 4" xfId="96"/>
    <cellStyle name="Normal 5" xfId="97"/>
    <cellStyle name="Normal 5 2" xfId="98"/>
    <cellStyle name="Normal 5 3" xfId="99"/>
    <cellStyle name="Normal 5 4" xfId="100"/>
    <cellStyle name="Normal 6" xfId="101"/>
    <cellStyle name="Normal 7" xfId="102"/>
    <cellStyle name="Normal 8" xfId="103"/>
    <cellStyle name="Normal 9" xfId="104"/>
    <cellStyle name="Notas" xfId="105"/>
    <cellStyle name="Note 2" xfId="106"/>
    <cellStyle name="Output 2" xfId="107"/>
    <cellStyle name="Percent 2" xfId="108"/>
    <cellStyle name="Percent" xfId="109"/>
    <cellStyle name="Salida" xfId="110"/>
    <cellStyle name="Texto de advertencia" xfId="111"/>
    <cellStyle name="Texto explicativo" xfId="112"/>
    <cellStyle name="Title 2" xfId="113"/>
    <cellStyle name="Título" xfId="114"/>
    <cellStyle name="Título 1" xfId="115"/>
    <cellStyle name="Título 2" xfId="116"/>
    <cellStyle name="Título 3" xfId="117"/>
    <cellStyle name="Total" xfId="118"/>
    <cellStyle name="Total 2" xfId="119"/>
    <cellStyle name="Warning Text 2" xfId="1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1057275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287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2</xdr:col>
      <xdr:colOff>1162050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33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142875</xdr:rowOff>
    </xdr:from>
    <xdr:to>
      <xdr:col>3</xdr:col>
      <xdr:colOff>1028700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287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85725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2</xdr:col>
      <xdr:colOff>1143000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3</xdr:col>
      <xdr:colOff>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0477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85725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1143000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1143000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114300</xdr:rowOff>
    </xdr:from>
    <xdr:to>
      <xdr:col>2</xdr:col>
      <xdr:colOff>1162050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1143000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1143000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1143000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tabSelected="1" zoomScale="108" zoomScaleNormal="108" zoomScalePageLayoutView="0" workbookViewId="0" topLeftCell="A1">
      <selection activeCell="F32" sqref="F32"/>
    </sheetView>
  </sheetViews>
  <sheetFormatPr defaultColWidth="10.6640625" defaultRowHeight="15.75"/>
  <cols>
    <col min="1" max="1" width="3.3359375" style="4" customWidth="1"/>
    <col min="2" max="2" width="3.4453125" style="2" customWidth="1"/>
    <col min="3" max="3" width="12.3359375" style="4" customWidth="1"/>
    <col min="4" max="13" width="10.6640625" style="4" customWidth="1"/>
    <col min="14" max="14" width="3.3359375" style="2" customWidth="1"/>
    <col min="15" max="17" width="10.6640625" style="2" customWidth="1"/>
    <col min="18" max="16384" width="10.6640625" style="4" customWidth="1"/>
  </cols>
  <sheetData>
    <row r="1" spans="4:25" s="2" customFormat="1" ht="22.5" customHeight="1">
      <c r="D1" s="3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</row>
    <row r="2" spans="4:25" s="2" customFormat="1" ht="22.5" customHeight="1">
      <c r="D2" s="1167" t="s">
        <v>149</v>
      </c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</row>
    <row r="3" spans="4:25" s="2" customFormat="1" ht="22.5" customHeight="1">
      <c r="D3" s="60" t="s">
        <v>247</v>
      </c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</row>
    <row r="4" spans="15:25" s="2" customFormat="1" ht="22.5" customHeight="1" thickBot="1">
      <c r="O4" s="889"/>
      <c r="P4" s="889"/>
      <c r="Q4" s="889"/>
      <c r="R4" s="889"/>
      <c r="S4" s="889"/>
      <c r="T4" s="889"/>
      <c r="U4" s="889"/>
      <c r="V4" s="889"/>
      <c r="W4" s="889"/>
      <c r="X4" s="889"/>
      <c r="Y4" s="889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89"/>
    </row>
    <row r="6" spans="2:25" s="2" customFormat="1" ht="30" customHeight="1">
      <c r="B6" s="8"/>
      <c r="C6" s="1" t="s">
        <v>216</v>
      </c>
      <c r="D6" s="3"/>
      <c r="E6" s="3"/>
      <c r="F6" s="3"/>
      <c r="G6" s="3"/>
      <c r="H6" s="3"/>
      <c r="I6" s="3"/>
      <c r="J6" s="3"/>
      <c r="K6" s="3"/>
      <c r="L6" s="3"/>
      <c r="M6" s="1285">
        <f>ejercicio</f>
        <v>2020</v>
      </c>
      <c r="N6" s="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89"/>
    </row>
    <row r="7" spans="2:25" s="2" customFormat="1" ht="30" customHeight="1">
      <c r="B7" s="8"/>
      <c r="C7" s="1" t="s">
        <v>217</v>
      </c>
      <c r="D7" s="3"/>
      <c r="E7" s="3"/>
      <c r="F7" s="3"/>
      <c r="G7" s="3"/>
      <c r="H7" s="3"/>
      <c r="I7" s="3"/>
      <c r="J7" s="3"/>
      <c r="K7" s="10"/>
      <c r="L7" s="3"/>
      <c r="M7" s="1285"/>
      <c r="N7" s="9"/>
      <c r="O7" s="889"/>
      <c r="P7" s="889"/>
      <c r="Q7" s="889"/>
      <c r="R7" s="889"/>
      <c r="S7" s="889"/>
      <c r="T7" s="889"/>
      <c r="U7" s="889"/>
      <c r="V7" s="889"/>
      <c r="W7" s="889"/>
      <c r="X7" s="889"/>
      <c r="Y7" s="889"/>
    </row>
    <row r="8" spans="2:25" s="2" customFormat="1" ht="30" customHeight="1">
      <c r="B8" s="8"/>
      <c r="N8" s="9"/>
      <c r="O8" s="889"/>
      <c r="P8" s="889"/>
      <c r="Q8" s="889"/>
      <c r="R8" s="889"/>
      <c r="S8" s="889"/>
      <c r="T8" s="889"/>
      <c r="U8" s="889"/>
      <c r="V8" s="889"/>
      <c r="W8" s="889"/>
      <c r="X8" s="889"/>
      <c r="Y8" s="889"/>
    </row>
    <row r="9" spans="2:25" s="2" customFormat="1" ht="30" customHeight="1">
      <c r="B9" s="8"/>
      <c r="N9" s="9"/>
      <c r="O9" s="889"/>
      <c r="P9" s="889"/>
      <c r="Q9" s="890"/>
      <c r="R9" s="890"/>
      <c r="S9" s="890"/>
      <c r="T9" s="890"/>
      <c r="U9" s="889"/>
      <c r="V9" s="889"/>
      <c r="W9" s="889"/>
      <c r="X9" s="889"/>
      <c r="Y9" s="889"/>
    </row>
    <row r="10" spans="2:25" s="2" customFormat="1" ht="6.75" customHeight="1">
      <c r="B10" s="8"/>
      <c r="N10" s="9"/>
      <c r="O10" s="889"/>
      <c r="P10" s="889"/>
      <c r="Q10" s="890"/>
      <c r="R10" s="890"/>
      <c r="S10" s="890"/>
      <c r="T10" s="890"/>
      <c r="U10" s="889"/>
      <c r="V10" s="889"/>
      <c r="W10" s="889"/>
      <c r="X10" s="889"/>
      <c r="Y10" s="889"/>
    </row>
    <row r="11" spans="2:37" ht="30" customHeight="1">
      <c r="B11" s="8"/>
      <c r="C11" s="11" t="s">
        <v>248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891"/>
      <c r="P11" s="889"/>
      <c r="Q11" s="890"/>
      <c r="R11" s="890"/>
      <c r="S11" s="890"/>
      <c r="T11" s="890"/>
      <c r="U11" s="889"/>
      <c r="V11" s="889"/>
      <c r="W11" s="889"/>
      <c r="X11" s="889"/>
      <c r="Y11" s="88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889"/>
      <c r="P12" s="889"/>
      <c r="Q12" s="890"/>
      <c r="R12" s="890"/>
      <c r="S12" s="890"/>
      <c r="T12" s="890"/>
      <c r="U12" s="889"/>
      <c r="V12" s="889"/>
      <c r="W12" s="889"/>
      <c r="X12" s="889"/>
      <c r="Y12" s="889"/>
    </row>
    <row r="13" spans="2:25" s="15" customFormat="1" ht="30" customHeight="1">
      <c r="B13" s="8"/>
      <c r="C13" s="266" t="s">
        <v>249</v>
      </c>
      <c r="D13" s="1286" t="s">
        <v>969</v>
      </c>
      <c r="E13" s="1287"/>
      <c r="F13" s="1287"/>
      <c r="G13" s="1287"/>
      <c r="H13" s="1287"/>
      <c r="I13" s="1287"/>
      <c r="J13" s="1287"/>
      <c r="K13" s="1287"/>
      <c r="L13" s="1287"/>
      <c r="M13" s="1288"/>
      <c r="N13" s="9"/>
      <c r="O13" s="892"/>
      <c r="P13" s="892"/>
      <c r="Q13" s="893"/>
      <c r="R13" s="893"/>
      <c r="S13" s="893"/>
      <c r="T13" s="893"/>
      <c r="U13" s="892"/>
      <c r="V13" s="892"/>
      <c r="W13" s="892"/>
      <c r="X13" s="892"/>
      <c r="Y13" s="892"/>
    </row>
    <row r="14" spans="2:25" s="15" customFormat="1" ht="30" customHeight="1">
      <c r="B14" s="8"/>
      <c r="C14" s="266" t="s">
        <v>89</v>
      </c>
      <c r="D14" s="1286" t="s">
        <v>90</v>
      </c>
      <c r="E14" s="1287"/>
      <c r="F14" s="1288"/>
      <c r="G14" s="362"/>
      <c r="H14" s="362"/>
      <c r="I14" s="14"/>
      <c r="J14" s="14"/>
      <c r="K14" s="14"/>
      <c r="L14" s="14"/>
      <c r="M14" s="14"/>
      <c r="N14" s="9"/>
      <c r="O14" s="892"/>
      <c r="P14" s="892"/>
      <c r="Q14" s="893"/>
      <c r="R14" s="893"/>
      <c r="S14" s="894" t="s">
        <v>90</v>
      </c>
      <c r="T14" s="893"/>
      <c r="U14" s="892"/>
      <c r="V14" s="892"/>
      <c r="W14" s="892"/>
      <c r="X14" s="892"/>
      <c r="Y14" s="892"/>
    </row>
    <row r="15" spans="2:25" s="2" customFormat="1" ht="30" customHeight="1">
      <c r="B15" s="8"/>
      <c r="C15" s="266" t="s">
        <v>250</v>
      </c>
      <c r="D15" s="484">
        <v>2020</v>
      </c>
      <c r="E15" s="14"/>
      <c r="F15" s="14"/>
      <c r="G15" s="362"/>
      <c r="H15" s="362"/>
      <c r="I15" s="14"/>
      <c r="J15" s="14"/>
      <c r="K15" s="14"/>
      <c r="L15" s="14"/>
      <c r="M15" s="14"/>
      <c r="N15" s="9"/>
      <c r="O15" s="889"/>
      <c r="P15" s="889"/>
      <c r="Q15" s="890"/>
      <c r="R15" s="890"/>
      <c r="S15" s="895" t="s">
        <v>91</v>
      </c>
      <c r="T15" s="890"/>
      <c r="U15" s="889"/>
      <c r="V15" s="889"/>
      <c r="W15" s="889"/>
      <c r="X15" s="889"/>
      <c r="Y15" s="889"/>
    </row>
    <row r="16" spans="2:25" s="2" customFormat="1" ht="30" customHeight="1">
      <c r="B16" s="8"/>
      <c r="C16" s="12"/>
      <c r="D16" s="1289"/>
      <c r="E16" s="1289"/>
      <c r="F16" s="1289"/>
      <c r="G16" s="1289"/>
      <c r="H16" s="1289"/>
      <c r="I16" s="1289"/>
      <c r="J16" s="1289"/>
      <c r="K16" s="1289"/>
      <c r="L16" s="1289"/>
      <c r="M16" s="1289"/>
      <c r="N16" s="9"/>
      <c r="O16" s="889"/>
      <c r="P16" s="889"/>
      <c r="Q16" s="890"/>
      <c r="R16" s="890"/>
      <c r="S16" s="890"/>
      <c r="T16" s="890"/>
      <c r="U16" s="889"/>
      <c r="V16" s="889"/>
      <c r="W16" s="889"/>
      <c r="X16" s="889"/>
      <c r="Y16" s="889"/>
    </row>
    <row r="17" spans="2:25" s="2" customFormat="1" ht="30" customHeight="1">
      <c r="B17" s="8"/>
      <c r="C17" s="67" t="s">
        <v>281</v>
      </c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9"/>
      <c r="O17" s="889"/>
      <c r="P17" s="889"/>
      <c r="Q17" s="890"/>
      <c r="R17" s="890"/>
      <c r="S17" s="890"/>
      <c r="T17" s="890"/>
      <c r="U17" s="889"/>
      <c r="V17" s="889"/>
      <c r="W17" s="889"/>
      <c r="X17" s="889"/>
      <c r="Y17" s="889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889"/>
      <c r="P18" s="889"/>
      <c r="Q18" s="890"/>
      <c r="R18" s="890"/>
      <c r="S18" s="890"/>
      <c r="T18" s="890"/>
      <c r="U18" s="889"/>
      <c r="V18" s="889"/>
      <c r="W18" s="889"/>
      <c r="X18" s="889"/>
      <c r="Y18" s="889"/>
    </row>
    <row r="19" spans="2:25" s="2" customFormat="1" ht="24.75" customHeight="1">
      <c r="B19" s="8"/>
      <c r="C19" s="2" t="s">
        <v>252</v>
      </c>
      <c r="D19" s="2" t="s">
        <v>253</v>
      </c>
      <c r="N19" s="9"/>
      <c r="O19" s="889"/>
      <c r="P19" s="889"/>
      <c r="Q19" s="890"/>
      <c r="R19" s="890"/>
      <c r="S19" s="890"/>
      <c r="T19" s="890"/>
      <c r="U19" s="889"/>
      <c r="V19" s="889"/>
      <c r="W19" s="889"/>
      <c r="X19" s="889"/>
      <c r="Y19" s="889"/>
    </row>
    <row r="20" spans="2:25" s="2" customFormat="1" ht="24.75" customHeight="1">
      <c r="B20" s="8"/>
      <c r="C20" s="2" t="s">
        <v>254</v>
      </c>
      <c r="D20" s="2" t="s">
        <v>255</v>
      </c>
      <c r="N20" s="9"/>
      <c r="O20" s="889"/>
      <c r="P20" s="889"/>
      <c r="Q20" s="890"/>
      <c r="R20" s="890"/>
      <c r="S20" s="890"/>
      <c r="T20" s="890"/>
      <c r="U20" s="889"/>
      <c r="V20" s="889"/>
      <c r="W20" s="889"/>
      <c r="X20" s="889"/>
      <c r="Y20" s="889"/>
    </row>
    <row r="21" spans="2:25" s="2" customFormat="1" ht="24.75" customHeight="1">
      <c r="B21" s="8"/>
      <c r="C21" s="2" t="s">
        <v>256</v>
      </c>
      <c r="D21" s="2" t="s">
        <v>257</v>
      </c>
      <c r="N21" s="9"/>
      <c r="O21" s="889"/>
      <c r="P21" s="889"/>
      <c r="Q21" s="890"/>
      <c r="R21" s="890"/>
      <c r="S21" s="890"/>
      <c r="T21" s="890"/>
      <c r="U21" s="889"/>
      <c r="V21" s="889"/>
      <c r="W21" s="889"/>
      <c r="X21" s="889"/>
      <c r="Y21" s="889"/>
    </row>
    <row r="22" spans="2:25" s="2" customFormat="1" ht="24.75" customHeight="1">
      <c r="B22" s="8"/>
      <c r="C22" s="2" t="s">
        <v>262</v>
      </c>
      <c r="D22" s="2" t="s">
        <v>263</v>
      </c>
      <c r="N22" s="9"/>
      <c r="O22" s="889"/>
      <c r="P22" s="889"/>
      <c r="Q22" s="890"/>
      <c r="R22" s="890"/>
      <c r="S22" s="890"/>
      <c r="T22" s="890"/>
      <c r="U22" s="889"/>
      <c r="V22" s="889"/>
      <c r="W22" s="889"/>
      <c r="X22" s="889"/>
      <c r="Y22" s="889"/>
    </row>
    <row r="23" spans="2:25" s="2" customFormat="1" ht="24.75" customHeight="1">
      <c r="B23" s="8"/>
      <c r="C23" s="2" t="s">
        <v>258</v>
      </c>
      <c r="D23" s="268" t="s">
        <v>877</v>
      </c>
      <c r="N23" s="9"/>
      <c r="O23" s="889"/>
      <c r="P23" s="889"/>
      <c r="Q23" s="890"/>
      <c r="R23" s="890"/>
      <c r="S23" s="890"/>
      <c r="T23" s="890"/>
      <c r="U23" s="889"/>
      <c r="V23" s="889"/>
      <c r="W23" s="889"/>
      <c r="X23" s="889"/>
      <c r="Y23" s="889"/>
    </row>
    <row r="24" spans="2:25" s="2" customFormat="1" ht="24.75" customHeight="1">
      <c r="B24" s="8"/>
      <c r="C24" s="2" t="s">
        <v>259</v>
      </c>
      <c r="D24" s="2" t="s">
        <v>260</v>
      </c>
      <c r="N24" s="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</row>
    <row r="25" spans="2:25" s="2" customFormat="1" ht="24.75" customHeight="1">
      <c r="B25" s="8"/>
      <c r="C25" s="2" t="s">
        <v>261</v>
      </c>
      <c r="D25" s="2" t="s">
        <v>264</v>
      </c>
      <c r="N25" s="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</row>
    <row r="26" spans="2:25" s="2" customFormat="1" ht="24.75" customHeight="1">
      <c r="B26" s="8"/>
      <c r="C26" s="2" t="s">
        <v>265</v>
      </c>
      <c r="D26" s="2" t="s">
        <v>266</v>
      </c>
      <c r="N26" s="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</row>
    <row r="27" spans="2:25" s="2" customFormat="1" ht="24.75" customHeight="1">
      <c r="B27" s="8"/>
      <c r="C27" s="2" t="s">
        <v>267</v>
      </c>
      <c r="D27" s="2" t="s">
        <v>268</v>
      </c>
      <c r="N27" s="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</row>
    <row r="28" spans="2:25" s="2" customFormat="1" ht="24.75" customHeight="1">
      <c r="B28" s="8"/>
      <c r="C28" s="2" t="s">
        <v>269</v>
      </c>
      <c r="D28" s="2" t="s">
        <v>270</v>
      </c>
      <c r="N28" s="9"/>
      <c r="O28" s="889"/>
      <c r="P28" s="889"/>
      <c r="Q28" s="889"/>
      <c r="R28" s="889"/>
      <c r="S28" s="889"/>
      <c r="T28" s="889"/>
      <c r="U28" s="889"/>
      <c r="V28" s="889"/>
      <c r="W28" s="889"/>
      <c r="X28" s="889"/>
      <c r="Y28" s="889"/>
    </row>
    <row r="29" spans="2:25" s="2" customFormat="1" ht="24.75" customHeight="1">
      <c r="B29" s="8"/>
      <c r="C29" s="2" t="s">
        <v>271</v>
      </c>
      <c r="D29" s="363" t="s">
        <v>903</v>
      </c>
      <c r="N29" s="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</row>
    <row r="30" spans="2:25" s="2" customFormat="1" ht="24.75" customHeight="1">
      <c r="B30" s="8"/>
      <c r="C30" s="2" t="s">
        <v>273</v>
      </c>
      <c r="D30" s="2" t="s">
        <v>272</v>
      </c>
      <c r="N30" s="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</row>
    <row r="31" spans="2:25" s="2" customFormat="1" ht="24.75" customHeight="1">
      <c r="B31" s="8"/>
      <c r="C31" s="2" t="s">
        <v>275</v>
      </c>
      <c r="D31" s="2" t="s">
        <v>274</v>
      </c>
      <c r="N31" s="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</row>
    <row r="32" spans="2:25" s="2" customFormat="1" ht="24.75" customHeight="1">
      <c r="B32" s="8"/>
      <c r="C32" s="363" t="s">
        <v>276</v>
      </c>
      <c r="D32" s="2" t="s">
        <v>277</v>
      </c>
      <c r="N32" s="9"/>
      <c r="O32" s="889"/>
      <c r="P32" s="889"/>
      <c r="Q32" s="889"/>
      <c r="R32" s="889"/>
      <c r="S32" s="889"/>
      <c r="T32" s="889"/>
      <c r="U32" s="889"/>
      <c r="V32" s="889"/>
      <c r="W32" s="889"/>
      <c r="X32" s="889"/>
      <c r="Y32" s="889"/>
    </row>
    <row r="33" spans="2:25" s="2" customFormat="1" ht="24.75" customHeight="1">
      <c r="B33" s="8"/>
      <c r="C33" s="363" t="s">
        <v>899</v>
      </c>
      <c r="D33" s="2" t="s">
        <v>279</v>
      </c>
      <c r="N33" s="9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</row>
    <row r="34" spans="2:25" s="2" customFormat="1" ht="24.75" customHeight="1">
      <c r="B34" s="8"/>
      <c r="C34" s="363" t="s">
        <v>900</v>
      </c>
      <c r="D34" s="887" t="s">
        <v>162</v>
      </c>
      <c r="N34" s="9"/>
      <c r="O34" s="889"/>
      <c r="P34" s="889"/>
      <c r="Q34" s="889"/>
      <c r="R34" s="889"/>
      <c r="S34" s="889"/>
      <c r="T34" s="889"/>
      <c r="U34" s="889"/>
      <c r="V34" s="889"/>
      <c r="W34" s="889"/>
      <c r="X34" s="889"/>
      <c r="Y34" s="889"/>
    </row>
    <row r="35" spans="2:25" s="2" customFormat="1" ht="24.75" customHeight="1">
      <c r="B35" s="8"/>
      <c r="C35" s="363" t="s">
        <v>901</v>
      </c>
      <c r="D35" s="2" t="s">
        <v>280</v>
      </c>
      <c r="N35" s="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</row>
    <row r="36" spans="2:14" s="2" customFormat="1" ht="24.75" customHeight="1">
      <c r="B36" s="8"/>
      <c r="C36" s="363" t="s">
        <v>902</v>
      </c>
      <c r="D36" s="2" t="s">
        <v>283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68" t="s">
        <v>282</v>
      </c>
      <c r="D39" s="887" t="s">
        <v>284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67" t="s">
        <v>743</v>
      </c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68" t="s">
        <v>744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286</v>
      </c>
      <c r="G46" s="42"/>
      <c r="M46" s="40" t="s">
        <v>291</v>
      </c>
    </row>
    <row r="47" spans="3:7" s="41" customFormat="1" ht="12.75">
      <c r="C47" s="37" t="s">
        <v>287</v>
      </c>
      <c r="G47" s="42"/>
    </row>
    <row r="48" spans="3:7" s="41" customFormat="1" ht="12.75">
      <c r="C48" s="37" t="s">
        <v>288</v>
      </c>
      <c r="G48" s="42"/>
    </row>
    <row r="49" spans="3:7" s="41" customFormat="1" ht="12.75">
      <c r="C49" s="37" t="s">
        <v>289</v>
      </c>
      <c r="G49" s="42"/>
    </row>
    <row r="50" spans="3:7" s="41" customFormat="1" ht="12.75">
      <c r="C50" s="37" t="s">
        <v>290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57">
      <selection activeCell="N94" sqref="N94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9.5546875" style="41" customWidth="1"/>
    <col min="4" max="4" width="5.5546875" style="41" customWidth="1"/>
    <col min="5" max="5" width="69.6640625" style="41" customWidth="1"/>
    <col min="6" max="8" width="18.3359375" style="85" customWidth="1"/>
    <col min="9" max="9" width="3.3359375" style="41" customWidth="1"/>
    <col min="10" max="16384" width="10.6640625" style="41" customWidth="1"/>
  </cols>
  <sheetData>
    <row r="1" ht="22.5" customHeight="1">
      <c r="D1" s="43"/>
    </row>
    <row r="2" ht="22.5" customHeight="1">
      <c r="D2" s="206" t="str">
        <f>_GENERAL!D2</f>
        <v>Área de Presidencia, Hacienda y Modernización</v>
      </c>
    </row>
    <row r="3" ht="22.5" customHeight="1">
      <c r="D3" s="206" t="str">
        <f>_GENERAL!D3</f>
        <v>Dirección Insular de Hacienda</v>
      </c>
    </row>
    <row r="4" ht="22.5" customHeight="1" thickBot="1">
      <c r="A4" s="41" t="s">
        <v>82</v>
      </c>
    </row>
    <row r="5" spans="2:24" ht="9" customHeight="1">
      <c r="B5" s="44"/>
      <c r="C5" s="45"/>
      <c r="D5" s="45"/>
      <c r="E5" s="45"/>
      <c r="F5" s="86"/>
      <c r="G5" s="86"/>
      <c r="H5" s="86"/>
      <c r="I5" s="46"/>
      <c r="K5" s="364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6"/>
    </row>
    <row r="6" spans="2:24" ht="30" customHeight="1">
      <c r="B6" s="47"/>
      <c r="C6" s="1" t="s">
        <v>216</v>
      </c>
      <c r="D6" s="43"/>
      <c r="E6" s="43"/>
      <c r="F6" s="87"/>
      <c r="G6" s="87"/>
      <c r="H6" s="1285">
        <f>ejercicio</f>
        <v>2020</v>
      </c>
      <c r="I6" s="49"/>
      <c r="K6" s="367"/>
      <c r="L6" s="368" t="s">
        <v>906</v>
      </c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70"/>
    </row>
    <row r="7" spans="2:24" ht="30" customHeight="1">
      <c r="B7" s="47"/>
      <c r="C7" s="1" t="s">
        <v>217</v>
      </c>
      <c r="D7" s="43"/>
      <c r="E7" s="43"/>
      <c r="F7" s="87"/>
      <c r="G7" s="87"/>
      <c r="H7" s="1285"/>
      <c r="I7" s="49"/>
      <c r="K7" s="367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70"/>
    </row>
    <row r="8" spans="2:24" ht="30" customHeight="1">
      <c r="B8" s="47"/>
      <c r="C8" s="48"/>
      <c r="D8" s="43"/>
      <c r="E8" s="43"/>
      <c r="F8" s="87"/>
      <c r="G8" s="87"/>
      <c r="H8" s="88"/>
      <c r="I8" s="49"/>
      <c r="K8" s="367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70"/>
    </row>
    <row r="9" spans="2:24" s="57" customFormat="1" ht="30" customHeight="1">
      <c r="B9" s="55"/>
      <c r="C9" s="38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56"/>
      <c r="K9" s="371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3"/>
    </row>
    <row r="10" spans="2:24" ht="6.75" customHeight="1">
      <c r="B10" s="47"/>
      <c r="C10" s="43"/>
      <c r="D10" s="43"/>
      <c r="E10" s="43"/>
      <c r="F10" s="87"/>
      <c r="G10" s="87"/>
      <c r="H10" s="87"/>
      <c r="I10" s="49"/>
      <c r="K10" s="367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70"/>
    </row>
    <row r="11" spans="2:24" s="59" customFormat="1" ht="30" customHeight="1">
      <c r="B11" s="23"/>
      <c r="C11" s="11" t="s">
        <v>530</v>
      </c>
      <c r="D11" s="11"/>
      <c r="E11" s="11"/>
      <c r="F11" s="89"/>
      <c r="G11" s="89"/>
      <c r="H11" s="89"/>
      <c r="I11" s="58"/>
      <c r="K11" s="374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6"/>
    </row>
    <row r="12" spans="2:24" s="59" customFormat="1" ht="30" customHeight="1">
      <c r="B12" s="23"/>
      <c r="C12" s="888">
        <f>IF(_GENERAL!D14&lt;&gt;"Normal","No aplica a empresas que presentan cuentas en modelo abreviado o PyMES","")</f>
      </c>
      <c r="D12" s="63"/>
      <c r="E12" s="63"/>
      <c r="F12" s="90"/>
      <c r="G12" s="90"/>
      <c r="H12" s="90"/>
      <c r="I12" s="58"/>
      <c r="K12" s="374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6"/>
    </row>
    <row r="13" spans="2:24" ht="22.5" customHeight="1">
      <c r="B13" s="47"/>
      <c r="C13" s="350"/>
      <c r="D13" s="351"/>
      <c r="E13" s="351"/>
      <c r="F13" s="358" t="s">
        <v>392</v>
      </c>
      <c r="G13" s="358" t="s">
        <v>393</v>
      </c>
      <c r="H13" s="358" t="s">
        <v>394</v>
      </c>
      <c r="I13" s="49"/>
      <c r="K13" s="367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70"/>
    </row>
    <row r="14" spans="2:24" ht="22.5" customHeight="1">
      <c r="B14" s="47"/>
      <c r="C14" s="356"/>
      <c r="D14" s="357"/>
      <c r="E14" s="357"/>
      <c r="F14" s="359">
        <f>ejercicio-2</f>
        <v>2018</v>
      </c>
      <c r="G14" s="359">
        <f>ejercicio-1</f>
        <v>2019</v>
      </c>
      <c r="H14" s="359">
        <f>ejercicio</f>
        <v>2020</v>
      </c>
      <c r="I14" s="49"/>
      <c r="K14" s="367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70"/>
    </row>
    <row r="15" spans="2:24" ht="22.5" customHeight="1">
      <c r="B15" s="47"/>
      <c r="C15" s="352" t="s">
        <v>531</v>
      </c>
      <c r="D15" s="83"/>
      <c r="E15" s="82"/>
      <c r="F15" s="132"/>
      <c r="G15" s="132"/>
      <c r="H15" s="132"/>
      <c r="I15" s="49"/>
      <c r="K15" s="367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70"/>
    </row>
    <row r="16" spans="2:24" ht="22.5" customHeight="1">
      <c r="B16" s="47"/>
      <c r="C16" s="353" t="s">
        <v>532</v>
      </c>
      <c r="D16" s="67"/>
      <c r="E16" s="66"/>
      <c r="F16" s="496">
        <f>'FC-3_CPyG'!E76</f>
        <v>1355121.1399999985</v>
      </c>
      <c r="G16" s="496">
        <f>'FC-3_CPyG'!F76</f>
        <v>3643158.419999998</v>
      </c>
      <c r="H16" s="496">
        <f>'FC-3_CPyG'!G76</f>
        <v>4552494.743999995</v>
      </c>
      <c r="I16" s="49"/>
      <c r="K16" s="367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70"/>
    </row>
    <row r="17" spans="2:24" ht="22.5" customHeight="1">
      <c r="B17" s="47"/>
      <c r="C17" s="353" t="s">
        <v>533</v>
      </c>
      <c r="D17" s="67"/>
      <c r="E17" s="66"/>
      <c r="F17" s="129">
        <f>SUM(F18:F28)</f>
        <v>1251532.0699999998</v>
      </c>
      <c r="G17" s="129">
        <f>SUM(G18:G28)</f>
        <v>3231738.180000001</v>
      </c>
      <c r="H17" s="129">
        <f>SUM(H18:H28)</f>
        <v>2845915.69</v>
      </c>
      <c r="I17" s="49"/>
      <c r="K17" s="367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70"/>
    </row>
    <row r="18" spans="2:24" ht="22.5" customHeight="1">
      <c r="B18" s="47"/>
      <c r="C18" s="300"/>
      <c r="D18" s="69" t="s">
        <v>534</v>
      </c>
      <c r="E18" s="69"/>
      <c r="F18" s="410">
        <v>4014028.44</v>
      </c>
      <c r="G18" s="410">
        <v>6563173.48</v>
      </c>
      <c r="H18" s="410">
        <v>6756675.75</v>
      </c>
      <c r="I18" s="49"/>
      <c r="K18" s="367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70"/>
    </row>
    <row r="19" spans="2:24" ht="22.5" customHeight="1">
      <c r="B19" s="47"/>
      <c r="C19" s="300"/>
      <c r="D19" s="69" t="s">
        <v>535</v>
      </c>
      <c r="E19" s="69"/>
      <c r="F19" s="410"/>
      <c r="G19" s="410"/>
      <c r="H19" s="410"/>
      <c r="I19" s="49"/>
      <c r="K19" s="367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70"/>
    </row>
    <row r="20" spans="2:24" ht="22.5" customHeight="1">
      <c r="B20" s="47"/>
      <c r="C20" s="300"/>
      <c r="D20" s="69" t="s">
        <v>536</v>
      </c>
      <c r="E20" s="69"/>
      <c r="F20" s="410"/>
      <c r="G20" s="410"/>
      <c r="H20" s="410"/>
      <c r="I20" s="49"/>
      <c r="K20" s="367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70"/>
    </row>
    <row r="21" spans="2:24" ht="22.5" customHeight="1">
      <c r="B21" s="47"/>
      <c r="C21" s="300"/>
      <c r="D21" s="69" t="s">
        <v>537</v>
      </c>
      <c r="E21" s="69"/>
      <c r="F21" s="410">
        <v>-488937.59</v>
      </c>
      <c r="G21" s="410">
        <v>-570454.16</v>
      </c>
      <c r="H21" s="410">
        <v>-728157.43</v>
      </c>
      <c r="I21" s="49"/>
      <c r="K21" s="367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70"/>
    </row>
    <row r="22" spans="2:24" ht="22.5" customHeight="1">
      <c r="B22" s="47"/>
      <c r="C22" s="300"/>
      <c r="D22" s="69" t="s">
        <v>538</v>
      </c>
      <c r="E22" s="69"/>
      <c r="F22" s="410"/>
      <c r="G22" s="410"/>
      <c r="H22" s="410"/>
      <c r="I22" s="49"/>
      <c r="K22" s="367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70"/>
    </row>
    <row r="23" spans="2:24" ht="22.5" customHeight="1">
      <c r="B23" s="47"/>
      <c r="C23" s="300"/>
      <c r="D23" s="69" t="s">
        <v>539</v>
      </c>
      <c r="E23" s="69"/>
      <c r="F23" s="410"/>
      <c r="G23" s="410"/>
      <c r="H23" s="410"/>
      <c r="I23" s="49"/>
      <c r="K23" s="367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70"/>
    </row>
    <row r="24" spans="2:24" ht="22.5" customHeight="1">
      <c r="B24" s="47"/>
      <c r="C24" s="300"/>
      <c r="D24" s="69" t="s">
        <v>540</v>
      </c>
      <c r="E24" s="69"/>
      <c r="F24" s="410">
        <v>-1846185.62</v>
      </c>
      <c r="G24" s="410">
        <v>-1831795.51</v>
      </c>
      <c r="H24" s="410">
        <v>-2318642.43</v>
      </c>
      <c r="I24" s="49"/>
      <c r="K24" s="367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70"/>
    </row>
    <row r="25" spans="2:24" ht="22.5" customHeight="1">
      <c r="B25" s="47"/>
      <c r="C25" s="300"/>
      <c r="D25" s="69" t="s">
        <v>541</v>
      </c>
      <c r="E25" s="69"/>
      <c r="F25" s="410">
        <v>178640.36</v>
      </c>
      <c r="G25" s="410">
        <v>345715.53</v>
      </c>
      <c r="H25" s="410">
        <v>133428.61</v>
      </c>
      <c r="I25" s="49"/>
      <c r="K25" s="367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70"/>
    </row>
    <row r="26" spans="2:24" ht="22.5" customHeight="1">
      <c r="B26" s="47"/>
      <c r="C26" s="300"/>
      <c r="D26" s="69" t="s">
        <v>542</v>
      </c>
      <c r="E26" s="69"/>
      <c r="F26" s="410">
        <v>48.25</v>
      </c>
      <c r="G26" s="410">
        <v>201.57</v>
      </c>
      <c r="H26" s="410"/>
      <c r="I26" s="49"/>
      <c r="K26" s="367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70"/>
    </row>
    <row r="27" spans="2:24" ht="22.5" customHeight="1">
      <c r="B27" s="47"/>
      <c r="C27" s="300"/>
      <c r="D27" s="69" t="s">
        <v>543</v>
      </c>
      <c r="E27" s="69"/>
      <c r="F27" s="410"/>
      <c r="G27" s="410"/>
      <c r="H27" s="410"/>
      <c r="I27" s="49"/>
      <c r="K27" s="367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70"/>
    </row>
    <row r="28" spans="2:24" ht="22.5" customHeight="1">
      <c r="B28" s="47"/>
      <c r="C28" s="300"/>
      <c r="D28" s="69" t="s">
        <v>544</v>
      </c>
      <c r="E28" s="69"/>
      <c r="F28" s="410">
        <v>-606061.77</v>
      </c>
      <c r="G28" s="410">
        <v>-1275102.73</v>
      </c>
      <c r="H28" s="410">
        <v>-997388.81</v>
      </c>
      <c r="I28" s="49"/>
      <c r="K28" s="367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70"/>
    </row>
    <row r="29" spans="2:24" ht="22.5" customHeight="1">
      <c r="B29" s="47"/>
      <c r="C29" s="353" t="s">
        <v>545</v>
      </c>
      <c r="D29" s="67"/>
      <c r="E29" s="66"/>
      <c r="F29" s="129">
        <f>SUM(F30:F35)</f>
        <v>4916893.19</v>
      </c>
      <c r="G29" s="129">
        <f>SUM(G30:G35)</f>
        <v>-4283498.03</v>
      </c>
      <c r="H29" s="129">
        <f>SUM(H30:H35)</f>
        <v>859536.76</v>
      </c>
      <c r="I29" s="49"/>
      <c r="K29" s="367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70"/>
    </row>
    <row r="30" spans="2:24" ht="22.5" customHeight="1">
      <c r="B30" s="47"/>
      <c r="C30" s="300"/>
      <c r="D30" s="69" t="s">
        <v>546</v>
      </c>
      <c r="E30" s="69"/>
      <c r="F30" s="410">
        <v>54705</v>
      </c>
      <c r="G30" s="410"/>
      <c r="H30" s="410">
        <v>900</v>
      </c>
      <c r="I30" s="49"/>
      <c r="K30" s="367"/>
      <c r="L30" s="36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80"/>
    </row>
    <row r="31" spans="2:24" ht="22.5" customHeight="1">
      <c r="B31" s="47"/>
      <c r="C31" s="300"/>
      <c r="D31" s="69" t="s">
        <v>547</v>
      </c>
      <c r="E31" s="69"/>
      <c r="F31" s="410">
        <v>1215414.29</v>
      </c>
      <c r="G31" s="410">
        <v>-579476.9</v>
      </c>
      <c r="H31" s="410">
        <v>1591836.76</v>
      </c>
      <c r="I31" s="49"/>
      <c r="K31" s="367"/>
      <c r="L31" s="36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80"/>
    </row>
    <row r="32" spans="2:24" ht="22.5" customHeight="1">
      <c r="B32" s="47"/>
      <c r="C32" s="300"/>
      <c r="D32" s="69" t="s">
        <v>548</v>
      </c>
      <c r="E32" s="69"/>
      <c r="F32" s="410">
        <v>-360107.19</v>
      </c>
      <c r="G32" s="410"/>
      <c r="H32" s="410"/>
      <c r="I32" s="49"/>
      <c r="K32" s="367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70"/>
    </row>
    <row r="33" spans="2:24" ht="22.5" customHeight="1">
      <c r="B33" s="47"/>
      <c r="C33" s="300"/>
      <c r="D33" s="69" t="s">
        <v>549</v>
      </c>
      <c r="E33" s="69"/>
      <c r="F33" s="410">
        <v>4272086.54</v>
      </c>
      <c r="G33" s="410">
        <v>-3704021.13</v>
      </c>
      <c r="H33" s="410">
        <v>-733200</v>
      </c>
      <c r="I33" s="49"/>
      <c r="K33" s="367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70"/>
    </row>
    <row r="34" spans="2:24" ht="22.5" customHeight="1">
      <c r="B34" s="47"/>
      <c r="C34" s="300"/>
      <c r="D34" s="69" t="s">
        <v>550</v>
      </c>
      <c r="E34" s="69"/>
      <c r="F34" s="410">
        <v>-265205.45</v>
      </c>
      <c r="G34" s="410"/>
      <c r="H34" s="410"/>
      <c r="I34" s="49"/>
      <c r="K34" s="367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70"/>
    </row>
    <row r="35" spans="2:24" ht="22.5" customHeight="1">
      <c r="B35" s="47"/>
      <c r="C35" s="300"/>
      <c r="D35" s="69" t="s">
        <v>551</v>
      </c>
      <c r="E35" s="69"/>
      <c r="F35" s="410"/>
      <c r="G35" s="410"/>
      <c r="H35" s="410"/>
      <c r="I35" s="49"/>
      <c r="K35" s="367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70"/>
    </row>
    <row r="36" spans="2:24" ht="22.5" customHeight="1">
      <c r="B36" s="47"/>
      <c r="C36" s="353" t="s">
        <v>552</v>
      </c>
      <c r="D36" s="67"/>
      <c r="E36" s="66"/>
      <c r="F36" s="129">
        <f>SUM(F37:F41)</f>
        <v>1164893.92</v>
      </c>
      <c r="G36" s="129">
        <f>SUM(G37:G41)</f>
        <v>1066333.33</v>
      </c>
      <c r="H36" s="129">
        <f>SUM(H37:H41)</f>
        <v>1779811.08</v>
      </c>
      <c r="I36" s="49"/>
      <c r="K36" s="367"/>
      <c r="L36" s="369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3"/>
    </row>
    <row r="37" spans="2:24" ht="22.5" customHeight="1">
      <c r="B37" s="47"/>
      <c r="C37" s="300"/>
      <c r="D37" s="69" t="s">
        <v>553</v>
      </c>
      <c r="E37" s="69"/>
      <c r="F37" s="410">
        <v>-155476.07</v>
      </c>
      <c r="G37" s="410">
        <v>-344515.53</v>
      </c>
      <c r="H37" s="410">
        <v>-132228.61</v>
      </c>
      <c r="I37" s="49"/>
      <c r="K37" s="367"/>
      <c r="L37" s="369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3"/>
    </row>
    <row r="38" spans="2:24" ht="22.5" customHeight="1">
      <c r="B38" s="47"/>
      <c r="C38" s="300"/>
      <c r="D38" s="69" t="s">
        <v>554</v>
      </c>
      <c r="E38" s="69"/>
      <c r="F38" s="410">
        <v>1320369.99</v>
      </c>
      <c r="G38" s="410">
        <v>1410848.86</v>
      </c>
      <c r="H38" s="410">
        <v>1912039.69</v>
      </c>
      <c r="I38" s="49"/>
      <c r="K38" s="367"/>
      <c r="L38" s="369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3"/>
    </row>
    <row r="39" spans="2:24" ht="22.5" customHeight="1">
      <c r="B39" s="47"/>
      <c r="C39" s="300"/>
      <c r="D39" s="69" t="s">
        <v>555</v>
      </c>
      <c r="E39" s="69"/>
      <c r="F39" s="410"/>
      <c r="G39" s="410"/>
      <c r="H39" s="410"/>
      <c r="I39" s="49"/>
      <c r="K39" s="367"/>
      <c r="L39" s="369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3"/>
    </row>
    <row r="40" spans="2:24" ht="22.5" customHeight="1">
      <c r="B40" s="47"/>
      <c r="C40" s="300"/>
      <c r="D40" s="69" t="s">
        <v>556</v>
      </c>
      <c r="E40" s="69"/>
      <c r="F40" s="410"/>
      <c r="G40" s="410"/>
      <c r="H40" s="410"/>
      <c r="I40" s="49"/>
      <c r="K40" s="367"/>
      <c r="L40" s="369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3"/>
    </row>
    <row r="41" spans="2:24" ht="22.5" customHeight="1">
      <c r="B41" s="47"/>
      <c r="C41" s="300"/>
      <c r="D41" s="69" t="s">
        <v>557</v>
      </c>
      <c r="E41" s="69"/>
      <c r="F41" s="410"/>
      <c r="G41" s="410"/>
      <c r="H41" s="410"/>
      <c r="I41" s="49"/>
      <c r="K41" s="381"/>
      <c r="L41" s="369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3"/>
    </row>
    <row r="42" spans="2:24" ht="22.5" customHeight="1" thickBot="1">
      <c r="B42" s="47"/>
      <c r="C42" s="354" t="s">
        <v>558</v>
      </c>
      <c r="D42" s="80"/>
      <c r="E42" s="80"/>
      <c r="F42" s="325">
        <f>F16+F17+F29+F36</f>
        <v>8688440.319999998</v>
      </c>
      <c r="G42" s="325">
        <f>G16+G17+G29+G36</f>
        <v>3657731.8999999994</v>
      </c>
      <c r="H42" s="325">
        <f>H16+H17+H29+H36</f>
        <v>10037758.273999995</v>
      </c>
      <c r="I42" s="49"/>
      <c r="K42" s="381"/>
      <c r="L42" s="369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3"/>
    </row>
    <row r="43" spans="2:24" ht="22.5" customHeight="1">
      <c r="B43" s="47"/>
      <c r="C43" s="300"/>
      <c r="D43" s="61"/>
      <c r="E43" s="61"/>
      <c r="F43" s="132"/>
      <c r="G43" s="132"/>
      <c r="H43" s="132"/>
      <c r="I43" s="49"/>
      <c r="K43" s="381"/>
      <c r="L43" s="369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3"/>
    </row>
    <row r="44" spans="2:24" ht="22.5" customHeight="1">
      <c r="B44" s="47"/>
      <c r="C44" s="352" t="s">
        <v>559</v>
      </c>
      <c r="D44" s="83"/>
      <c r="E44" s="82"/>
      <c r="F44" s="132"/>
      <c r="G44" s="132"/>
      <c r="H44" s="132"/>
      <c r="I44" s="49"/>
      <c r="K44" s="381"/>
      <c r="L44" s="369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3"/>
    </row>
    <row r="45" spans="2:24" ht="22.5" customHeight="1">
      <c r="B45" s="47"/>
      <c r="C45" s="353" t="s">
        <v>560</v>
      </c>
      <c r="D45" s="67"/>
      <c r="E45" s="66"/>
      <c r="F45" s="129">
        <f>SUM(F46:F53)</f>
        <v>-49743242.760000005</v>
      </c>
      <c r="G45" s="129">
        <f>SUM(G46:G53)</f>
        <v>-8439142.93</v>
      </c>
      <c r="H45" s="129">
        <f>SUM(H46:H53)</f>
        <v>-5495326</v>
      </c>
      <c r="I45" s="49"/>
      <c r="K45" s="381"/>
      <c r="L45" s="369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3"/>
    </row>
    <row r="46" spans="2:24" ht="22.5" customHeight="1">
      <c r="B46" s="47"/>
      <c r="C46" s="300"/>
      <c r="D46" s="69" t="s">
        <v>561</v>
      </c>
      <c r="E46" s="69"/>
      <c r="F46" s="410"/>
      <c r="G46" s="410"/>
      <c r="H46" s="410">
        <f>-1358895.83+218000+245000+167000-375000</f>
        <v>-1103895.83</v>
      </c>
      <c r="I46" s="49"/>
      <c r="K46" s="381"/>
      <c r="L46" s="369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3"/>
    </row>
    <row r="47" spans="2:24" ht="22.5" customHeight="1">
      <c r="B47" s="47"/>
      <c r="C47" s="300"/>
      <c r="D47" s="69" t="s">
        <v>562</v>
      </c>
      <c r="E47" s="69"/>
      <c r="F47" s="410">
        <v>-17565.13</v>
      </c>
      <c r="G47" s="410">
        <v>-3932.32</v>
      </c>
      <c r="H47" s="410"/>
      <c r="I47" s="49"/>
      <c r="K47" s="381"/>
      <c r="L47" s="369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3"/>
    </row>
    <row r="48" spans="2:24" ht="22.5" customHeight="1">
      <c r="B48" s="47"/>
      <c r="C48" s="300"/>
      <c r="D48" s="69" t="s">
        <v>563</v>
      </c>
      <c r="E48" s="69"/>
      <c r="F48" s="410">
        <v>-49512667.63</v>
      </c>
      <c r="G48" s="410">
        <v>-8435210.61</v>
      </c>
      <c r="H48" s="410">
        <v>-4391430.17</v>
      </c>
      <c r="I48" s="49"/>
      <c r="K48" s="381"/>
      <c r="L48" s="369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3"/>
    </row>
    <row r="49" spans="2:24" ht="22.5" customHeight="1">
      <c r="B49" s="47"/>
      <c r="C49" s="300"/>
      <c r="D49" s="69" t="s">
        <v>564</v>
      </c>
      <c r="E49" s="69"/>
      <c r="F49" s="410"/>
      <c r="G49" s="410"/>
      <c r="H49" s="410"/>
      <c r="I49" s="49"/>
      <c r="K49" s="381"/>
      <c r="L49" s="369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3"/>
    </row>
    <row r="50" spans="2:24" ht="22.5" customHeight="1">
      <c r="B50" s="47"/>
      <c r="C50" s="300"/>
      <c r="D50" s="69" t="s">
        <v>565</v>
      </c>
      <c r="E50" s="69"/>
      <c r="F50" s="410">
        <v>-213010</v>
      </c>
      <c r="G50" s="410"/>
      <c r="H50" s="410"/>
      <c r="I50" s="49"/>
      <c r="K50" s="1268"/>
      <c r="L50" s="369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3"/>
    </row>
    <row r="51" spans="2:24" ht="22.5" customHeight="1">
      <c r="B51" s="47"/>
      <c r="C51" s="300"/>
      <c r="D51" s="69" t="s">
        <v>566</v>
      </c>
      <c r="E51" s="69"/>
      <c r="F51" s="410"/>
      <c r="G51" s="410"/>
      <c r="H51" s="410"/>
      <c r="I51" s="49"/>
      <c r="K51" s="381"/>
      <c r="L51" s="369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3"/>
    </row>
    <row r="52" spans="2:24" s="72" customFormat="1" ht="22.5" customHeight="1">
      <c r="B52" s="23"/>
      <c r="C52" s="300"/>
      <c r="D52" s="69" t="s">
        <v>590</v>
      </c>
      <c r="E52" s="69"/>
      <c r="F52" s="410"/>
      <c r="G52" s="410"/>
      <c r="H52" s="410"/>
      <c r="I52" s="58"/>
      <c r="K52" s="381"/>
      <c r="L52" s="369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3"/>
    </row>
    <row r="53" spans="2:24" ht="22.5" customHeight="1">
      <c r="B53" s="47"/>
      <c r="C53" s="300"/>
      <c r="D53" s="69" t="s">
        <v>591</v>
      </c>
      <c r="E53" s="69"/>
      <c r="F53" s="410"/>
      <c r="G53" s="410"/>
      <c r="H53" s="410"/>
      <c r="I53" s="49"/>
      <c r="K53" s="381"/>
      <c r="L53" s="369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3"/>
    </row>
    <row r="54" spans="2:24" ht="22.5" customHeight="1">
      <c r="B54" s="47"/>
      <c r="C54" s="353" t="s">
        <v>567</v>
      </c>
      <c r="D54" s="67"/>
      <c r="E54" s="66"/>
      <c r="F54" s="129">
        <f>SUM(F55:F62)</f>
        <v>3507948.13</v>
      </c>
      <c r="G54" s="129">
        <f>SUM(G55:G62)</f>
        <v>6395051.54</v>
      </c>
      <c r="H54" s="129">
        <f>SUM(H55:H62)</f>
        <v>2085813.5</v>
      </c>
      <c r="I54" s="49"/>
      <c r="K54" s="381"/>
      <c r="L54" s="369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3"/>
    </row>
    <row r="55" spans="2:24" ht="22.5" customHeight="1">
      <c r="B55" s="47"/>
      <c r="C55" s="300"/>
      <c r="D55" s="69" t="s">
        <v>561</v>
      </c>
      <c r="E55" s="69"/>
      <c r="F55" s="410"/>
      <c r="G55" s="410">
        <v>785112.96</v>
      </c>
      <c r="H55" s="410"/>
      <c r="I55" s="49"/>
      <c r="K55" s="381"/>
      <c r="L55" s="369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3"/>
    </row>
    <row r="56" spans="2:24" ht="22.5" customHeight="1">
      <c r="B56" s="47"/>
      <c r="C56" s="300"/>
      <c r="D56" s="69" t="s">
        <v>562</v>
      </c>
      <c r="E56" s="69"/>
      <c r="F56" s="410"/>
      <c r="G56" s="410"/>
      <c r="H56" s="410"/>
      <c r="I56" s="49"/>
      <c r="K56" s="381"/>
      <c r="L56" s="369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3"/>
    </row>
    <row r="57" spans="2:24" ht="22.5" customHeight="1">
      <c r="B57" s="47"/>
      <c r="C57" s="300"/>
      <c r="D57" s="69" t="s">
        <v>563</v>
      </c>
      <c r="E57" s="69"/>
      <c r="F57" s="410"/>
      <c r="G57" s="410"/>
      <c r="H57" s="410"/>
      <c r="I57" s="49"/>
      <c r="K57" s="381"/>
      <c r="L57" s="369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3"/>
    </row>
    <row r="58" spans="2:24" ht="22.5" customHeight="1">
      <c r="B58" s="47"/>
      <c r="C58" s="300"/>
      <c r="D58" s="69" t="s">
        <v>564</v>
      </c>
      <c r="E58" s="69"/>
      <c r="F58" s="410"/>
      <c r="G58" s="410"/>
      <c r="H58" s="410"/>
      <c r="I58" s="49"/>
      <c r="K58" s="381"/>
      <c r="L58" s="369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3"/>
    </row>
    <row r="59" spans="2:24" ht="22.5" customHeight="1">
      <c r="B59" s="47"/>
      <c r="C59" s="300"/>
      <c r="D59" s="69" t="s">
        <v>565</v>
      </c>
      <c r="E59" s="69"/>
      <c r="F59" s="410">
        <v>3507948.13</v>
      </c>
      <c r="G59" s="410">
        <v>5609938.58</v>
      </c>
      <c r="H59" s="410">
        <v>2085813.5</v>
      </c>
      <c r="I59" s="49"/>
      <c r="K59" s="1268"/>
      <c r="L59" s="369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3"/>
    </row>
    <row r="60" spans="2:24" ht="22.5" customHeight="1">
      <c r="B60" s="47"/>
      <c r="C60" s="300"/>
      <c r="D60" s="69" t="s">
        <v>566</v>
      </c>
      <c r="E60" s="69"/>
      <c r="F60" s="410"/>
      <c r="G60" s="410"/>
      <c r="H60" s="410"/>
      <c r="I60" s="49"/>
      <c r="K60" s="381"/>
      <c r="L60" s="369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3"/>
    </row>
    <row r="61" spans="2:24" ht="22.5" customHeight="1">
      <c r="B61" s="47"/>
      <c r="C61" s="300"/>
      <c r="D61" s="69" t="s">
        <v>590</v>
      </c>
      <c r="E61" s="69"/>
      <c r="F61" s="410"/>
      <c r="G61" s="410"/>
      <c r="H61" s="410"/>
      <c r="I61" s="49"/>
      <c r="K61" s="381"/>
      <c r="L61" s="369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3"/>
    </row>
    <row r="62" spans="2:24" ht="22.5" customHeight="1">
      <c r="B62" s="47"/>
      <c r="C62" s="300"/>
      <c r="D62" s="69" t="s">
        <v>591</v>
      </c>
      <c r="E62" s="69"/>
      <c r="F62" s="410"/>
      <c r="G62" s="410"/>
      <c r="H62" s="410"/>
      <c r="I62" s="49"/>
      <c r="K62" s="381"/>
      <c r="L62" s="369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3"/>
    </row>
    <row r="63" spans="2:24" ht="22.5" customHeight="1" thickBot="1">
      <c r="B63" s="47"/>
      <c r="C63" s="354" t="s">
        <v>568</v>
      </c>
      <c r="D63" s="80"/>
      <c r="E63" s="80"/>
      <c r="F63" s="325">
        <f>F45+F54</f>
        <v>-46235294.63</v>
      </c>
      <c r="G63" s="325">
        <f>G45+G54</f>
        <v>-2044091.3899999997</v>
      </c>
      <c r="H63" s="325">
        <f>H45+H54</f>
        <v>-3409512.5</v>
      </c>
      <c r="I63" s="49"/>
      <c r="K63" s="381"/>
      <c r="L63" s="369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3"/>
    </row>
    <row r="64" spans="2:24" ht="22.5" customHeight="1">
      <c r="B64" s="47"/>
      <c r="C64" s="300"/>
      <c r="D64" s="61"/>
      <c r="E64" s="61"/>
      <c r="F64" s="132"/>
      <c r="G64" s="132"/>
      <c r="H64" s="132"/>
      <c r="I64" s="49"/>
      <c r="K64" s="381"/>
      <c r="L64" s="369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3"/>
    </row>
    <row r="65" spans="2:24" ht="22.5" customHeight="1">
      <c r="B65" s="47"/>
      <c r="C65" s="352" t="s">
        <v>569</v>
      </c>
      <c r="D65" s="83"/>
      <c r="E65" s="82"/>
      <c r="F65" s="132"/>
      <c r="G65" s="132"/>
      <c r="H65" s="132"/>
      <c r="I65" s="49"/>
      <c r="K65" s="381"/>
      <c r="L65" s="369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3"/>
    </row>
    <row r="66" spans="2:24" ht="22.5" customHeight="1">
      <c r="B66" s="47"/>
      <c r="C66" s="353" t="s">
        <v>570</v>
      </c>
      <c r="D66" s="67"/>
      <c r="E66" s="66"/>
      <c r="F66" s="129">
        <f>SUM(F67:F71)</f>
        <v>25915789.51</v>
      </c>
      <c r="G66" s="129">
        <f>SUM(G67:G71)</f>
        <v>310369.77</v>
      </c>
      <c r="H66" s="129">
        <f>SUM(H67:H71)</f>
        <v>1380730.11</v>
      </c>
      <c r="I66" s="49"/>
      <c r="K66" s="381"/>
      <c r="L66" s="369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3"/>
    </row>
    <row r="67" spans="2:24" ht="22.5" customHeight="1">
      <c r="B67" s="47"/>
      <c r="C67" s="300"/>
      <c r="D67" s="69" t="s">
        <v>571</v>
      </c>
      <c r="E67" s="69"/>
      <c r="F67" s="410">
        <v>24999977.3</v>
      </c>
      <c r="G67" s="410"/>
      <c r="H67" s="410"/>
      <c r="I67" s="49"/>
      <c r="K67" s="381" t="s">
        <v>131</v>
      </c>
      <c r="L67" s="369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3"/>
    </row>
    <row r="68" spans="2:24" ht="22.5" customHeight="1">
      <c r="B68" s="47"/>
      <c r="C68" s="300"/>
      <c r="D68" s="69" t="s">
        <v>572</v>
      </c>
      <c r="E68" s="69"/>
      <c r="F68" s="410"/>
      <c r="G68" s="410"/>
      <c r="H68" s="410"/>
      <c r="I68" s="49"/>
      <c r="K68" s="381"/>
      <c r="L68" s="369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3"/>
    </row>
    <row r="69" spans="2:24" ht="22.5" customHeight="1">
      <c r="B69" s="47"/>
      <c r="C69" s="300"/>
      <c r="D69" s="497" t="s">
        <v>924</v>
      </c>
      <c r="E69" s="69"/>
      <c r="F69" s="410"/>
      <c r="G69" s="410"/>
      <c r="H69" s="410"/>
      <c r="I69" s="49"/>
      <c r="K69" s="381"/>
      <c r="L69" s="369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3"/>
    </row>
    <row r="70" spans="2:24" ht="22.5" customHeight="1">
      <c r="B70" s="47"/>
      <c r="C70" s="300"/>
      <c r="D70" s="69" t="s">
        <v>573</v>
      </c>
      <c r="E70" s="69"/>
      <c r="F70" s="410"/>
      <c r="G70" s="410"/>
      <c r="H70" s="410"/>
      <c r="I70" s="49"/>
      <c r="K70" s="381"/>
      <c r="L70" s="369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3"/>
    </row>
    <row r="71" spans="2:24" ht="22.5" customHeight="1">
      <c r="B71" s="47"/>
      <c r="C71" s="300"/>
      <c r="D71" s="69" t="s">
        <v>574</v>
      </c>
      <c r="E71" s="69"/>
      <c r="F71" s="410">
        <v>915812.21</v>
      </c>
      <c r="G71" s="410">
        <v>310369.77</v>
      </c>
      <c r="H71" s="410">
        <v>1380730.11</v>
      </c>
      <c r="I71" s="49"/>
      <c r="K71" s="1268" t="s">
        <v>1209</v>
      </c>
      <c r="L71" s="369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3"/>
    </row>
    <row r="72" spans="2:24" ht="22.5" customHeight="1">
      <c r="B72" s="47"/>
      <c r="C72" s="353" t="s">
        <v>575</v>
      </c>
      <c r="D72" s="67"/>
      <c r="E72" s="66"/>
      <c r="F72" s="129">
        <f>+F73+F79</f>
        <v>30454673.060000002</v>
      </c>
      <c r="G72" s="129">
        <f>+G73+G79</f>
        <v>-25194193.28</v>
      </c>
      <c r="H72" s="129">
        <f>+H73+H79</f>
        <v>-7110008.9399999995</v>
      </c>
      <c r="I72" s="49"/>
      <c r="K72" s="381"/>
      <c r="L72" s="369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3"/>
    </row>
    <row r="73" spans="2:24" ht="22.5" customHeight="1">
      <c r="B73" s="47"/>
      <c r="C73" s="300"/>
      <c r="D73" s="69" t="s">
        <v>576</v>
      </c>
      <c r="E73" s="69"/>
      <c r="F73" s="131">
        <f>SUM(F74:F78)</f>
        <v>34763966</v>
      </c>
      <c r="G73" s="131">
        <f>SUM(G74:G78)</f>
        <v>0</v>
      </c>
      <c r="H73" s="131">
        <f>SUM(H74:H78)</f>
        <v>200000</v>
      </c>
      <c r="I73" s="49"/>
      <c r="K73" s="381"/>
      <c r="L73" s="369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3"/>
    </row>
    <row r="74" spans="2:24" ht="22.5" customHeight="1">
      <c r="B74" s="47"/>
      <c r="C74" s="355"/>
      <c r="D74" s="84"/>
      <c r="E74" s="84" t="s">
        <v>577</v>
      </c>
      <c r="F74" s="418"/>
      <c r="G74" s="418"/>
      <c r="H74" s="418"/>
      <c r="I74" s="49"/>
      <c r="K74" s="381"/>
      <c r="L74" s="369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3"/>
    </row>
    <row r="75" spans="2:24" ht="22.5" customHeight="1">
      <c r="B75" s="47"/>
      <c r="C75" s="355"/>
      <c r="D75" s="84"/>
      <c r="E75" s="84" t="s">
        <v>578</v>
      </c>
      <c r="F75" s="418">
        <v>34763966</v>
      </c>
      <c r="G75" s="418"/>
      <c r="H75" s="418"/>
      <c r="I75" s="49"/>
      <c r="K75" s="381">
        <v>22833.73</v>
      </c>
      <c r="L75" s="369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3"/>
    </row>
    <row r="76" spans="2:24" ht="22.5" customHeight="1">
      <c r="B76" s="47"/>
      <c r="C76" s="355"/>
      <c r="D76" s="84"/>
      <c r="E76" s="84" t="s">
        <v>579</v>
      </c>
      <c r="F76" s="418"/>
      <c r="G76" s="418"/>
      <c r="H76" s="418">
        <v>200000</v>
      </c>
      <c r="I76" s="49"/>
      <c r="K76" s="381"/>
      <c r="L76" s="369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3"/>
    </row>
    <row r="77" spans="2:24" ht="22.5" customHeight="1">
      <c r="B77" s="47"/>
      <c r="C77" s="355"/>
      <c r="D77" s="84"/>
      <c r="E77" s="84" t="s">
        <v>580</v>
      </c>
      <c r="F77" s="418"/>
      <c r="G77" s="418"/>
      <c r="H77" s="418"/>
      <c r="I77" s="49"/>
      <c r="K77" s="381"/>
      <c r="L77" s="369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3"/>
    </row>
    <row r="78" spans="2:24" ht="22.5" customHeight="1">
      <c r="B78" s="47"/>
      <c r="C78" s="355"/>
      <c r="D78" s="84"/>
      <c r="E78" s="84" t="s">
        <v>581</v>
      </c>
      <c r="F78" s="418"/>
      <c r="G78" s="418"/>
      <c r="H78" s="418"/>
      <c r="I78" s="49"/>
      <c r="K78" s="381"/>
      <c r="L78" s="369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3"/>
    </row>
    <row r="79" spans="2:24" ht="22.5" customHeight="1">
      <c r="B79" s="47"/>
      <c r="C79" s="300"/>
      <c r="D79" s="70" t="s">
        <v>582</v>
      </c>
      <c r="E79" s="70"/>
      <c r="F79" s="323">
        <f>SUM(F80:F84)</f>
        <v>-4309292.9399999995</v>
      </c>
      <c r="G79" s="323">
        <f>SUM(G80:G84)</f>
        <v>-25194193.28</v>
      </c>
      <c r="H79" s="323">
        <f>SUM(H80:H84)</f>
        <v>-7310008.9399999995</v>
      </c>
      <c r="I79" s="49"/>
      <c r="K79" s="381"/>
      <c r="L79" s="369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3"/>
    </row>
    <row r="80" spans="2:24" ht="22.5" customHeight="1">
      <c r="B80" s="47"/>
      <c r="C80" s="355"/>
      <c r="D80" s="84"/>
      <c r="E80" s="84" t="s">
        <v>919</v>
      </c>
      <c r="F80" s="418"/>
      <c r="G80" s="418"/>
      <c r="H80" s="418"/>
      <c r="I80" s="49"/>
      <c r="K80" s="381"/>
      <c r="L80" s="369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3"/>
    </row>
    <row r="81" spans="2:24" ht="22.5" customHeight="1">
      <c r="B81" s="47"/>
      <c r="C81" s="355"/>
      <c r="D81" s="84"/>
      <c r="E81" s="84" t="s">
        <v>920</v>
      </c>
      <c r="F81" s="418">
        <v>-2112590.06</v>
      </c>
      <c r="G81" s="418">
        <v>-24639405.35</v>
      </c>
      <c r="H81" s="418">
        <v>-7274427.6</v>
      </c>
      <c r="I81" s="49"/>
      <c r="K81" s="381">
        <v>-7297261.33</v>
      </c>
      <c r="L81" s="369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3"/>
    </row>
    <row r="82" spans="2:24" ht="22.5" customHeight="1">
      <c r="B82" s="47"/>
      <c r="C82" s="355"/>
      <c r="D82" s="84"/>
      <c r="E82" s="84" t="s">
        <v>921</v>
      </c>
      <c r="F82" s="418"/>
      <c r="G82" s="418">
        <v>-472498.34</v>
      </c>
      <c r="H82" s="418"/>
      <c r="I82" s="49"/>
      <c r="K82" s="381"/>
      <c r="L82" s="369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3"/>
    </row>
    <row r="83" spans="2:24" ht="22.5" customHeight="1">
      <c r="B83" s="47"/>
      <c r="C83" s="355"/>
      <c r="D83" s="84"/>
      <c r="E83" s="84" t="s">
        <v>922</v>
      </c>
      <c r="F83" s="418"/>
      <c r="G83" s="418"/>
      <c r="H83" s="418"/>
      <c r="I83" s="49"/>
      <c r="K83" s="381"/>
      <c r="L83" s="369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3"/>
    </row>
    <row r="84" spans="2:24" ht="22.5" customHeight="1">
      <c r="B84" s="47"/>
      <c r="C84" s="355"/>
      <c r="D84" s="84"/>
      <c r="E84" s="84" t="s">
        <v>923</v>
      </c>
      <c r="F84" s="418">
        <v>-2196702.88</v>
      </c>
      <c r="G84" s="418">
        <v>-82289.59</v>
      </c>
      <c r="H84" s="418">
        <v>-35581.34</v>
      </c>
      <c r="I84" s="49"/>
      <c r="K84" s="381"/>
      <c r="L84" s="369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3"/>
    </row>
    <row r="85" spans="2:24" ht="22.5" customHeight="1">
      <c r="B85" s="47"/>
      <c r="C85" s="353" t="s">
        <v>583</v>
      </c>
      <c r="D85" s="67"/>
      <c r="E85" s="66"/>
      <c r="F85" s="129">
        <f>+SUM(F86:F87)</f>
        <v>0</v>
      </c>
      <c r="G85" s="129">
        <f>+SUM(G86:G87)</f>
        <v>0</v>
      </c>
      <c r="H85" s="129">
        <f>+SUM(H86:H87)</f>
        <v>-1873025.82</v>
      </c>
      <c r="I85" s="49"/>
      <c r="K85" s="381"/>
      <c r="L85" s="369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3"/>
    </row>
    <row r="86" spans="2:24" ht="22.5" customHeight="1">
      <c r="B86" s="47"/>
      <c r="C86" s="300"/>
      <c r="D86" s="69" t="s">
        <v>584</v>
      </c>
      <c r="E86" s="69"/>
      <c r="F86" s="410"/>
      <c r="G86" s="410"/>
      <c r="H86" s="410">
        <v>-1873025.82</v>
      </c>
      <c r="I86" s="49"/>
      <c r="K86" s="381"/>
      <c r="L86" s="369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3"/>
    </row>
    <row r="87" spans="2:24" ht="22.5" customHeight="1">
      <c r="B87" s="47"/>
      <c r="C87" s="300"/>
      <c r="D87" s="69" t="s">
        <v>585</v>
      </c>
      <c r="E87" s="69"/>
      <c r="F87" s="410"/>
      <c r="G87" s="410"/>
      <c r="H87" s="410"/>
      <c r="I87" s="49"/>
      <c r="K87" s="381"/>
      <c r="L87" s="369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3"/>
    </row>
    <row r="88" spans="2:24" ht="22.5" customHeight="1" thickBot="1">
      <c r="B88" s="47"/>
      <c r="C88" s="354" t="s">
        <v>588</v>
      </c>
      <c r="D88" s="80"/>
      <c r="E88" s="80"/>
      <c r="F88" s="325">
        <f>+F66+F72+F85</f>
        <v>56370462.57000001</v>
      </c>
      <c r="G88" s="325">
        <f>+G66+G72+G85</f>
        <v>-24883823.51</v>
      </c>
      <c r="H88" s="325">
        <f>+H66+H72+H85</f>
        <v>-7602304.649999999</v>
      </c>
      <c r="I88" s="49"/>
      <c r="K88" s="381"/>
      <c r="L88" s="369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3"/>
    </row>
    <row r="89" spans="2:24" ht="22.5" customHeight="1">
      <c r="B89" s="47"/>
      <c r="C89" s="300"/>
      <c r="D89" s="61"/>
      <c r="E89" s="61"/>
      <c r="F89" s="132"/>
      <c r="G89" s="132"/>
      <c r="H89" s="132"/>
      <c r="I89" s="49"/>
      <c r="K89" s="381"/>
      <c r="L89" s="369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3"/>
    </row>
    <row r="90" spans="2:24" ht="22.5" customHeight="1" thickBot="1">
      <c r="B90" s="47"/>
      <c r="C90" s="354" t="s">
        <v>586</v>
      </c>
      <c r="D90" s="80"/>
      <c r="E90" s="80"/>
      <c r="F90" s="325">
        <v>0</v>
      </c>
      <c r="G90" s="325">
        <v>0</v>
      </c>
      <c r="H90" s="325">
        <v>0</v>
      </c>
      <c r="I90" s="49"/>
      <c r="K90" s="381"/>
      <c r="L90" s="369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3"/>
    </row>
    <row r="91" spans="2:24" ht="22.5" customHeight="1">
      <c r="B91" s="47"/>
      <c r="C91" s="300"/>
      <c r="D91" s="61"/>
      <c r="E91" s="61"/>
      <c r="F91" s="132"/>
      <c r="G91" s="132"/>
      <c r="H91" s="132"/>
      <c r="I91" s="49"/>
      <c r="K91" s="381"/>
      <c r="L91" s="369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3"/>
    </row>
    <row r="92" spans="2:24" ht="22.5" customHeight="1" thickBot="1">
      <c r="B92" s="47"/>
      <c r="C92" s="354" t="s">
        <v>589</v>
      </c>
      <c r="D92" s="80"/>
      <c r="E92" s="80"/>
      <c r="F92" s="325">
        <f>+F42+F63+F88+F90</f>
        <v>18823608.260000005</v>
      </c>
      <c r="G92" s="325">
        <f>+G42+G63+G88+G90</f>
        <v>-23270183</v>
      </c>
      <c r="H92" s="325">
        <f>+H42+H63+H88+H90</f>
        <v>-974058.8760000048</v>
      </c>
      <c r="I92" s="49"/>
      <c r="K92" s="381"/>
      <c r="L92" s="369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3"/>
    </row>
    <row r="93" spans="2:24" ht="22.5" customHeight="1">
      <c r="B93" s="47"/>
      <c r="C93" s="57"/>
      <c r="D93" s="57"/>
      <c r="E93" s="57"/>
      <c r="F93" s="57"/>
      <c r="G93" s="57"/>
      <c r="H93" s="57"/>
      <c r="I93" s="49"/>
      <c r="K93" s="381"/>
      <c r="L93" s="369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3"/>
    </row>
    <row r="94" spans="2:24" ht="22.5" customHeight="1" thickBot="1">
      <c r="B94" s="47"/>
      <c r="C94" s="360" t="s">
        <v>1114</v>
      </c>
      <c r="D94" s="361"/>
      <c r="E94" s="361"/>
      <c r="F94" s="419">
        <v>7602335.66</v>
      </c>
      <c r="G94" s="322">
        <f>+F95</f>
        <v>26425943.92</v>
      </c>
      <c r="H94" s="322">
        <f>+G95</f>
        <v>3155760.92</v>
      </c>
      <c r="I94" s="49"/>
      <c r="K94" s="1161"/>
      <c r="L94" s="369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3"/>
    </row>
    <row r="95" spans="2:24" ht="22.5" customHeight="1" thickBot="1">
      <c r="B95" s="47"/>
      <c r="C95" s="354" t="s">
        <v>587</v>
      </c>
      <c r="D95" s="80"/>
      <c r="E95" s="80"/>
      <c r="F95" s="325">
        <f>'FC-4_ACTIVO'!E90</f>
        <v>26425943.92</v>
      </c>
      <c r="G95" s="325">
        <f>+'FC-4_ACTIVO'!F90</f>
        <v>3155760.92</v>
      </c>
      <c r="H95" s="325">
        <f>+'FC-4_ACTIVO'!G90</f>
        <v>2181702.04</v>
      </c>
      <c r="I95" s="49"/>
      <c r="K95" s="1161"/>
      <c r="L95" s="369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3"/>
    </row>
    <row r="96" spans="2:24" ht="22.5" customHeight="1">
      <c r="B96" s="47"/>
      <c r="C96" s="754"/>
      <c r="D96" s="755"/>
      <c r="E96" s="755"/>
      <c r="F96" s="756"/>
      <c r="G96" s="756"/>
      <c r="H96" s="756"/>
      <c r="I96" s="49"/>
      <c r="K96" s="381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3"/>
    </row>
    <row r="97" spans="2:24" ht="22.5" customHeight="1">
      <c r="B97" s="47"/>
      <c r="C97" s="104" t="s">
        <v>958</v>
      </c>
      <c r="D97" s="755"/>
      <c r="E97" s="755"/>
      <c r="F97" s="756"/>
      <c r="G97" s="756"/>
      <c r="H97" s="756"/>
      <c r="I97" s="49"/>
      <c r="K97" s="381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3"/>
    </row>
    <row r="98" spans="2:24" ht="22.5" customHeight="1">
      <c r="B98" s="47"/>
      <c r="C98" s="757" t="s">
        <v>1115</v>
      </c>
      <c r="D98" s="755"/>
      <c r="E98" s="755"/>
      <c r="F98" s="756"/>
      <c r="G98" s="756"/>
      <c r="H98" s="756"/>
      <c r="I98" s="49"/>
      <c r="K98" s="381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3"/>
    </row>
    <row r="99" spans="2:24" ht="22.5" customHeight="1">
      <c r="B99" s="47"/>
      <c r="C99" s="754"/>
      <c r="D99" s="755"/>
      <c r="E99" s="755"/>
      <c r="F99" s="756"/>
      <c r="G99" s="756"/>
      <c r="H99" s="756"/>
      <c r="I99" s="49"/>
      <c r="K99" s="381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3"/>
    </row>
    <row r="100" spans="2:24" ht="22.5" customHeight="1" thickBot="1">
      <c r="B100" s="51"/>
      <c r="C100" s="1299"/>
      <c r="D100" s="1299"/>
      <c r="E100" s="1299"/>
      <c r="F100" s="1299"/>
      <c r="G100" s="1299"/>
      <c r="H100" s="91"/>
      <c r="I100" s="54"/>
      <c r="K100" s="384"/>
      <c r="L100" s="385"/>
      <c r="M100" s="385"/>
      <c r="N100" s="385"/>
      <c r="O100" s="385"/>
      <c r="P100" s="385"/>
      <c r="Q100" s="385"/>
      <c r="R100" s="385"/>
      <c r="S100" s="385"/>
      <c r="T100" s="385"/>
      <c r="U100" s="385"/>
      <c r="V100" s="385"/>
      <c r="W100" s="385"/>
      <c r="X100" s="386"/>
    </row>
    <row r="101" spans="3:10" ht="22.5" customHeight="1">
      <c r="C101" s="43"/>
      <c r="D101" s="43"/>
      <c r="E101" s="43"/>
      <c r="F101" s="87"/>
      <c r="G101" s="87"/>
      <c r="H101" s="87"/>
      <c r="J101" s="41" t="s">
        <v>83</v>
      </c>
    </row>
    <row r="102" spans="3:8" ht="12.75">
      <c r="C102" s="36" t="s">
        <v>286</v>
      </c>
      <c r="D102" s="43"/>
      <c r="E102" s="43"/>
      <c r="F102" s="87"/>
      <c r="G102" s="87"/>
      <c r="H102" s="92" t="s">
        <v>259</v>
      </c>
    </row>
    <row r="103" spans="3:8" ht="12.75">
      <c r="C103" s="37" t="s">
        <v>287</v>
      </c>
      <c r="D103" s="43"/>
      <c r="E103" s="43"/>
      <c r="F103" s="87"/>
      <c r="G103" s="87"/>
      <c r="H103" s="87"/>
    </row>
    <row r="104" spans="3:8" ht="12.75">
      <c r="C104" s="37" t="s">
        <v>288</v>
      </c>
      <c r="D104" s="43"/>
      <c r="E104" s="43"/>
      <c r="F104" s="87"/>
      <c r="G104" s="87"/>
      <c r="H104" s="87"/>
    </row>
    <row r="105" spans="3:8" ht="12.75">
      <c r="C105" s="37" t="s">
        <v>289</v>
      </c>
      <c r="D105" s="43"/>
      <c r="E105" s="43"/>
      <c r="F105" s="87"/>
      <c r="G105" s="87"/>
      <c r="H105" s="87"/>
    </row>
    <row r="106" spans="3:8" ht="12.75">
      <c r="C106" s="37" t="s">
        <v>290</v>
      </c>
      <c r="D106" s="43"/>
      <c r="E106" s="43"/>
      <c r="F106" s="87"/>
      <c r="G106" s="87"/>
      <c r="H106" s="87"/>
    </row>
    <row r="107" spans="3:8" ht="22.5" customHeight="1">
      <c r="C107" s="43"/>
      <c r="D107" s="43"/>
      <c r="E107" s="43"/>
      <c r="F107" s="87"/>
      <c r="G107" s="87"/>
      <c r="H107" s="87"/>
    </row>
    <row r="108" spans="3:8" ht="22.5" customHeight="1">
      <c r="C108" s="43"/>
      <c r="D108" s="43"/>
      <c r="E108" s="43"/>
      <c r="F108" s="87"/>
      <c r="G108" s="87"/>
      <c r="H108" s="87"/>
    </row>
    <row r="109" spans="3:8" ht="22.5" customHeight="1">
      <c r="C109" s="43"/>
      <c r="D109" s="43"/>
      <c r="E109" s="43"/>
      <c r="F109" s="87"/>
      <c r="G109" s="87"/>
      <c r="H109" s="87"/>
    </row>
    <row r="110" spans="3:8" ht="22.5" customHeight="1">
      <c r="C110" s="43"/>
      <c r="D110" s="43"/>
      <c r="E110" s="43"/>
      <c r="F110" s="87"/>
      <c r="G110" s="87"/>
      <c r="H110" s="87"/>
    </row>
    <row r="111" spans="7:8" ht="22.5" customHeight="1">
      <c r="G111" s="87"/>
      <c r="H111" s="87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SheetLayoutView="50" zoomScalePageLayoutView="0" workbookViewId="0" topLeftCell="A1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42.6640625" style="94" customWidth="1"/>
    <col min="5" max="5" width="12.6640625" style="95" customWidth="1"/>
    <col min="6" max="6" width="17.3359375" style="95" customWidth="1"/>
    <col min="7" max="8" width="15.6640625" style="95" customWidth="1"/>
    <col min="9" max="18" width="12.6640625" style="95" customWidth="1"/>
    <col min="19" max="19" width="3.3359375" style="94" customWidth="1"/>
    <col min="20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34" ht="9" customHeight="1">
      <c r="B5" s="96"/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U5" s="364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6"/>
    </row>
    <row r="6" spans="2:34" ht="30" customHeight="1">
      <c r="B6" s="100"/>
      <c r="C6" s="64" t="s">
        <v>216</v>
      </c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285">
        <f>ejercicio</f>
        <v>2020</v>
      </c>
      <c r="S6" s="103"/>
      <c r="U6" s="367"/>
      <c r="V6" s="368" t="s">
        <v>906</v>
      </c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70"/>
    </row>
    <row r="7" spans="2:34" ht="30" customHeight="1">
      <c r="B7" s="100"/>
      <c r="C7" s="64" t="s">
        <v>217</v>
      </c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285"/>
      <c r="S7" s="103"/>
      <c r="U7" s="367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70"/>
    </row>
    <row r="8" spans="2:34" ht="30" customHeight="1">
      <c r="B8" s="100"/>
      <c r="C8" s="104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5"/>
      <c r="S8" s="103"/>
      <c r="U8" s="367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70"/>
    </row>
    <row r="9" spans="2:34" s="62" customFormat="1" ht="30" customHeight="1">
      <c r="B9" s="106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300"/>
      <c r="Q9" s="1300"/>
      <c r="R9" s="1300"/>
      <c r="S9" s="107"/>
      <c r="U9" s="371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3"/>
    </row>
    <row r="10" spans="2:34" ht="6.75" customHeight="1">
      <c r="B10" s="100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U10" s="367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70"/>
    </row>
    <row r="11" spans="2:34" s="112" customFormat="1" ht="30" customHeight="1">
      <c r="B11" s="108"/>
      <c r="C11" s="109" t="s">
        <v>962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U11" s="374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6"/>
    </row>
    <row r="12" spans="2:34" s="112" customFormat="1" ht="30" customHeight="1">
      <c r="B12" s="108"/>
      <c r="C12" s="113"/>
      <c r="D12" s="11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111"/>
      <c r="U12" s="374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6"/>
    </row>
    <row r="13" spans="2:34" s="116" customFormat="1" ht="18.75" customHeight="1">
      <c r="B13" s="114"/>
      <c r="C13" s="338"/>
      <c r="D13" s="338"/>
      <c r="E13" s="338"/>
      <c r="F13" s="338"/>
      <c r="G13" s="338"/>
      <c r="H13" s="339" t="s">
        <v>596</v>
      </c>
      <c r="I13" s="1351" t="s">
        <v>967</v>
      </c>
      <c r="J13" s="1352"/>
      <c r="K13" s="1352"/>
      <c r="L13" s="1352"/>
      <c r="M13" s="1353"/>
      <c r="N13" s="340"/>
      <c r="O13" s="341"/>
      <c r="P13" s="342" t="s">
        <v>599</v>
      </c>
      <c r="Q13" s="343">
        <f>ejercicio-1</f>
        <v>2019</v>
      </c>
      <c r="R13" s="723" t="s">
        <v>968</v>
      </c>
      <c r="S13" s="115"/>
      <c r="U13" s="367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70"/>
    </row>
    <row r="14" spans="2:34" s="117" customFormat="1" ht="18.75" customHeight="1">
      <c r="B14" s="114"/>
      <c r="C14" s="344"/>
      <c r="D14" s="344"/>
      <c r="E14" s="344"/>
      <c r="F14" s="344"/>
      <c r="G14" s="344"/>
      <c r="H14" s="345" t="s">
        <v>597</v>
      </c>
      <c r="I14" s="346"/>
      <c r="J14" s="347"/>
      <c r="K14" s="347"/>
      <c r="L14" s="347"/>
      <c r="M14" s="348"/>
      <c r="N14" s="346"/>
      <c r="O14" s="347"/>
      <c r="P14" s="347"/>
      <c r="Q14" s="347"/>
      <c r="R14" s="348"/>
      <c r="S14" s="115"/>
      <c r="U14" s="367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70"/>
    </row>
    <row r="15" spans="2:34" s="117" customFormat="1" ht="18.75" customHeight="1">
      <c r="B15" s="114"/>
      <c r="C15" s="349" t="s">
        <v>592</v>
      </c>
      <c r="D15" s="349" t="s">
        <v>593</v>
      </c>
      <c r="E15" s="349" t="s">
        <v>594</v>
      </c>
      <c r="F15" s="349" t="s">
        <v>595</v>
      </c>
      <c r="G15" s="349" t="s">
        <v>963</v>
      </c>
      <c r="H15" s="349">
        <f>ejercicio-1</f>
        <v>2019</v>
      </c>
      <c r="I15" s="349">
        <f>+ejercicio</f>
        <v>2020</v>
      </c>
      <c r="J15" s="349">
        <f>ejercicio+1</f>
        <v>2021</v>
      </c>
      <c r="K15" s="349">
        <f>ejercicio+2</f>
        <v>2022</v>
      </c>
      <c r="L15" s="349">
        <f>ejercicio+3</f>
        <v>2023</v>
      </c>
      <c r="M15" s="349" t="s">
        <v>598</v>
      </c>
      <c r="N15" s="349">
        <f>+ejercicio</f>
        <v>2020</v>
      </c>
      <c r="O15" s="349">
        <f>ejercicio+1</f>
        <v>2021</v>
      </c>
      <c r="P15" s="349">
        <f>ejercicio+2</f>
        <v>2022</v>
      </c>
      <c r="Q15" s="349">
        <f>ejercicio+3</f>
        <v>2023</v>
      </c>
      <c r="R15" s="349" t="s">
        <v>598</v>
      </c>
      <c r="S15" s="115"/>
      <c r="U15" s="367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70"/>
    </row>
    <row r="16" spans="2:34" ht="22.5" customHeight="1">
      <c r="B16" s="114"/>
      <c r="C16" s="420">
        <v>1</v>
      </c>
      <c r="D16" s="1150" t="s">
        <v>1027</v>
      </c>
      <c r="E16" s="421">
        <v>2017</v>
      </c>
      <c r="F16" s="421">
        <v>2019</v>
      </c>
      <c r="G16" s="422">
        <v>6447315.73</v>
      </c>
      <c r="H16" s="422">
        <v>6447315.73</v>
      </c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103"/>
      <c r="U16" s="367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70"/>
    </row>
    <row r="17" spans="2:34" ht="22.5" customHeight="1">
      <c r="B17" s="114"/>
      <c r="C17" s="423">
        <v>2</v>
      </c>
      <c r="D17" s="1151" t="s">
        <v>1028</v>
      </c>
      <c r="E17" s="425">
        <v>2017</v>
      </c>
      <c r="F17" s="425">
        <v>2019</v>
      </c>
      <c r="G17" s="426">
        <v>190128.36</v>
      </c>
      <c r="H17" s="426">
        <v>190128.36</v>
      </c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103"/>
      <c r="U17" s="367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70"/>
    </row>
    <row r="18" spans="2:34" ht="22.5" customHeight="1">
      <c r="B18" s="114"/>
      <c r="C18" s="423">
        <v>3</v>
      </c>
      <c r="D18" s="1151" t="s">
        <v>1029</v>
      </c>
      <c r="E18" s="425">
        <v>2017</v>
      </c>
      <c r="F18" s="425">
        <v>2020</v>
      </c>
      <c r="G18" s="426">
        <f>I18+H18</f>
        <v>499663.48</v>
      </c>
      <c r="H18" s="426">
        <v>146063.48</v>
      </c>
      <c r="I18" s="426">
        <v>353600</v>
      </c>
      <c r="J18" s="426"/>
      <c r="K18" s="426"/>
      <c r="L18" s="426"/>
      <c r="M18" s="426"/>
      <c r="N18" s="426"/>
      <c r="O18" s="426"/>
      <c r="P18" s="426"/>
      <c r="Q18" s="426"/>
      <c r="R18" s="426"/>
      <c r="S18" s="103"/>
      <c r="U18" s="367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70"/>
    </row>
    <row r="19" spans="2:34" ht="22.5" customHeight="1">
      <c r="B19" s="114"/>
      <c r="C19" s="423">
        <v>4</v>
      </c>
      <c r="D19" s="1151" t="s">
        <v>1030</v>
      </c>
      <c r="E19" s="425">
        <v>2017</v>
      </c>
      <c r="F19" s="425">
        <v>2020</v>
      </c>
      <c r="G19" s="426">
        <f>H19+I19</f>
        <v>3539068.6599999997</v>
      </c>
      <c r="H19" s="426">
        <v>846645.09</v>
      </c>
      <c r="I19" s="426">
        <v>2692423.57</v>
      </c>
      <c r="J19" s="426"/>
      <c r="K19" s="426"/>
      <c r="L19" s="426"/>
      <c r="M19" s="426"/>
      <c r="N19" s="426"/>
      <c r="O19" s="426"/>
      <c r="P19" s="426"/>
      <c r="Q19" s="426"/>
      <c r="R19" s="426"/>
      <c r="S19" s="103"/>
      <c r="U19" s="367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70"/>
    </row>
    <row r="20" spans="2:34" ht="22.5" customHeight="1">
      <c r="B20" s="114"/>
      <c r="C20" s="423">
        <v>5</v>
      </c>
      <c r="D20" s="1151" t="s">
        <v>1031</v>
      </c>
      <c r="E20" s="425">
        <v>2017</v>
      </c>
      <c r="F20" s="425">
        <v>2019</v>
      </c>
      <c r="G20" s="426">
        <v>1286.91</v>
      </c>
      <c r="H20" s="426">
        <v>1286.91</v>
      </c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103"/>
      <c r="U20" s="367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70"/>
    </row>
    <row r="21" spans="2:34" ht="22.5" customHeight="1">
      <c r="B21" s="114"/>
      <c r="C21" s="423">
        <v>6</v>
      </c>
      <c r="D21" s="1151" t="s">
        <v>1032</v>
      </c>
      <c r="E21" s="425">
        <v>2017</v>
      </c>
      <c r="F21" s="425">
        <v>2019</v>
      </c>
      <c r="G21" s="426">
        <v>82526.65</v>
      </c>
      <c r="H21" s="426">
        <v>82526.65</v>
      </c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103"/>
      <c r="U21" s="367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70"/>
    </row>
    <row r="22" spans="2:34" ht="22.5" customHeight="1">
      <c r="B22" s="114"/>
      <c r="C22" s="423">
        <v>7</v>
      </c>
      <c r="D22" s="1151" t="s">
        <v>1033</v>
      </c>
      <c r="E22" s="425">
        <v>2019</v>
      </c>
      <c r="F22" s="425">
        <v>2020</v>
      </c>
      <c r="G22" s="426">
        <f>I22+H22</f>
        <v>218124.39</v>
      </c>
      <c r="H22" s="426">
        <v>218124.39</v>
      </c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103"/>
      <c r="U22" s="367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70"/>
    </row>
    <row r="23" spans="2:34" ht="22.5" customHeight="1">
      <c r="B23" s="114"/>
      <c r="C23" s="423">
        <v>8</v>
      </c>
      <c r="D23" s="1151" t="s">
        <v>1034</v>
      </c>
      <c r="E23" s="425">
        <v>2019</v>
      </c>
      <c r="F23" s="425">
        <v>2020</v>
      </c>
      <c r="G23" s="426">
        <f>H23+I23</f>
        <v>98979.53352941177</v>
      </c>
      <c r="H23" s="426">
        <v>89485.71</v>
      </c>
      <c r="I23" s="426">
        <v>9493.823529411766</v>
      </c>
      <c r="J23" s="426"/>
      <c r="K23" s="426"/>
      <c r="L23" s="426"/>
      <c r="M23" s="426"/>
      <c r="N23" s="426"/>
      <c r="O23" s="426"/>
      <c r="P23" s="426"/>
      <c r="Q23" s="426"/>
      <c r="R23" s="426"/>
      <c r="S23" s="103"/>
      <c r="U23" s="367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70"/>
    </row>
    <row r="24" spans="2:34" ht="22.5" customHeight="1">
      <c r="B24" s="114"/>
      <c r="C24" s="423">
        <v>9</v>
      </c>
      <c r="D24" s="1151" t="s">
        <v>1035</v>
      </c>
      <c r="E24" s="425">
        <v>2019</v>
      </c>
      <c r="F24" s="425">
        <v>2019</v>
      </c>
      <c r="G24" s="426">
        <v>83002</v>
      </c>
      <c r="H24" s="426">
        <v>83002</v>
      </c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103"/>
      <c r="U24" s="367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70"/>
    </row>
    <row r="25" spans="2:34" ht="22.5" customHeight="1">
      <c r="B25" s="114"/>
      <c r="C25" s="423">
        <v>10</v>
      </c>
      <c r="D25" s="1151" t="s">
        <v>1036</v>
      </c>
      <c r="E25" s="425">
        <v>2019</v>
      </c>
      <c r="F25" s="425">
        <v>2019</v>
      </c>
      <c r="G25" s="426">
        <v>3932.32</v>
      </c>
      <c r="H25" s="426">
        <v>3932.32</v>
      </c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103"/>
      <c r="U25" s="367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70"/>
    </row>
    <row r="26" spans="2:34" ht="22.5" customHeight="1">
      <c r="B26" s="114"/>
      <c r="C26" s="423">
        <v>11</v>
      </c>
      <c r="D26" s="1151" t="s">
        <v>1037</v>
      </c>
      <c r="E26" s="425">
        <v>2019</v>
      </c>
      <c r="F26" s="425">
        <v>2019</v>
      </c>
      <c r="G26" s="426">
        <v>49415.36</v>
      </c>
      <c r="H26" s="426">
        <v>49415.36</v>
      </c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103"/>
      <c r="U26" s="367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70"/>
    </row>
    <row r="27" spans="2:34" ht="22.5" customHeight="1">
      <c r="B27" s="114"/>
      <c r="C27" s="423">
        <v>12</v>
      </c>
      <c r="D27" s="1151" t="s">
        <v>1038</v>
      </c>
      <c r="E27" s="425">
        <v>2019</v>
      </c>
      <c r="F27" s="425">
        <v>2019</v>
      </c>
      <c r="G27" s="426">
        <v>465672.55</v>
      </c>
      <c r="H27" s="426">
        <v>465672.55</v>
      </c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103"/>
      <c r="U27" s="367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70"/>
    </row>
    <row r="28" spans="2:34" ht="22.5" customHeight="1">
      <c r="B28" s="114"/>
      <c r="C28" s="423">
        <v>13</v>
      </c>
      <c r="D28" s="1151" t="s">
        <v>1039</v>
      </c>
      <c r="E28" s="425">
        <v>2019</v>
      </c>
      <c r="F28" s="425">
        <v>2019</v>
      </c>
      <c r="G28" s="426">
        <v>4435.74</v>
      </c>
      <c r="H28" s="426">
        <v>4435.74</v>
      </c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103"/>
      <c r="U28" s="367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70"/>
    </row>
    <row r="29" spans="2:34" ht="22.5" customHeight="1">
      <c r="B29" s="114"/>
      <c r="C29" s="423">
        <v>14</v>
      </c>
      <c r="D29" s="1151" t="s">
        <v>1040</v>
      </c>
      <c r="E29" s="425">
        <v>2019</v>
      </c>
      <c r="F29" s="425">
        <v>2019</v>
      </c>
      <c r="G29" s="426">
        <v>16452.12</v>
      </c>
      <c r="H29" s="426">
        <v>16452.12</v>
      </c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103"/>
      <c r="U29" s="367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</row>
    <row r="30" spans="2:34" ht="22.5" customHeight="1">
      <c r="B30" s="114"/>
      <c r="C30" s="423">
        <v>15</v>
      </c>
      <c r="D30" s="1151" t="s">
        <v>1041</v>
      </c>
      <c r="E30" s="425">
        <v>2019</v>
      </c>
      <c r="F30" s="425">
        <v>2019</v>
      </c>
      <c r="G30" s="426">
        <v>11794.81</v>
      </c>
      <c r="H30" s="426">
        <v>11794.81</v>
      </c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103"/>
      <c r="U30" s="378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80"/>
    </row>
    <row r="31" spans="2:34" ht="22.5" customHeight="1">
      <c r="B31" s="114"/>
      <c r="C31" s="423">
        <v>16</v>
      </c>
      <c r="D31" s="1151" t="s">
        <v>1042</v>
      </c>
      <c r="E31" s="425">
        <v>2019</v>
      </c>
      <c r="F31" s="425">
        <v>2019</v>
      </c>
      <c r="G31" s="426">
        <v>13476.26</v>
      </c>
      <c r="H31" s="426">
        <v>13476.26</v>
      </c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103"/>
      <c r="U31" s="378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80"/>
    </row>
    <row r="32" spans="2:34" ht="22.5" customHeight="1">
      <c r="B32" s="114"/>
      <c r="C32" s="423">
        <v>17</v>
      </c>
      <c r="D32" s="1151" t="s">
        <v>1043</v>
      </c>
      <c r="E32" s="425">
        <v>2019</v>
      </c>
      <c r="F32" s="425">
        <v>2019</v>
      </c>
      <c r="G32" s="426">
        <v>33440</v>
      </c>
      <c r="H32" s="426">
        <v>33440</v>
      </c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103"/>
      <c r="U32" s="367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70"/>
    </row>
    <row r="33" spans="2:34" ht="22.5" customHeight="1">
      <c r="B33" s="114"/>
      <c r="C33" s="423">
        <v>18</v>
      </c>
      <c r="D33" s="1151" t="s">
        <v>1044</v>
      </c>
      <c r="E33" s="425">
        <v>2019</v>
      </c>
      <c r="F33" s="425">
        <v>2019</v>
      </c>
      <c r="G33" s="426">
        <v>1360.9</v>
      </c>
      <c r="H33" s="426">
        <v>1360.9</v>
      </c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103"/>
      <c r="U33" s="367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70"/>
    </row>
    <row r="34" spans="2:34" ht="22.5" customHeight="1">
      <c r="B34" s="114"/>
      <c r="C34" s="423">
        <v>19</v>
      </c>
      <c r="D34" s="1151" t="s">
        <v>1045</v>
      </c>
      <c r="E34" s="425">
        <v>2020</v>
      </c>
      <c r="F34" s="425">
        <v>2020</v>
      </c>
      <c r="G34" s="426">
        <v>230362</v>
      </c>
      <c r="H34" s="426"/>
      <c r="I34" s="426">
        <v>230362</v>
      </c>
      <c r="J34" s="426"/>
      <c r="K34" s="426"/>
      <c r="L34" s="426"/>
      <c r="M34" s="426"/>
      <c r="N34" s="426"/>
      <c r="O34" s="426"/>
      <c r="P34" s="426"/>
      <c r="Q34" s="426"/>
      <c r="R34" s="426"/>
      <c r="S34" s="103"/>
      <c r="U34" s="367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70"/>
    </row>
    <row r="35" spans="2:34" ht="22.5" customHeight="1">
      <c r="B35" s="114"/>
      <c r="C35" s="423">
        <v>20</v>
      </c>
      <c r="D35" s="1151" t="s">
        <v>1046</v>
      </c>
      <c r="E35" s="425">
        <v>2020</v>
      </c>
      <c r="F35" s="425">
        <v>2020</v>
      </c>
      <c r="G35" s="426">
        <v>793427.22</v>
      </c>
      <c r="H35" s="426"/>
      <c r="I35" s="426">
        <v>793427.22</v>
      </c>
      <c r="J35" s="426"/>
      <c r="K35" s="426"/>
      <c r="L35" s="426"/>
      <c r="M35" s="426"/>
      <c r="N35" s="426"/>
      <c r="O35" s="426"/>
      <c r="P35" s="426"/>
      <c r="Q35" s="426"/>
      <c r="R35" s="426"/>
      <c r="S35" s="103"/>
      <c r="U35" s="367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70"/>
    </row>
    <row r="36" spans="2:34" ht="22.5" customHeight="1">
      <c r="B36" s="114"/>
      <c r="C36" s="423">
        <v>21</v>
      </c>
      <c r="D36" s="424" t="s">
        <v>208</v>
      </c>
      <c r="E36" s="425">
        <v>2020</v>
      </c>
      <c r="F36" s="425">
        <v>2020</v>
      </c>
      <c r="G36" s="426">
        <v>58411.76470588236</v>
      </c>
      <c r="H36" s="426"/>
      <c r="I36" s="426">
        <v>58411.76470588236</v>
      </c>
      <c r="J36" s="426"/>
      <c r="K36" s="426"/>
      <c r="L36" s="426"/>
      <c r="M36" s="426"/>
      <c r="N36" s="426"/>
      <c r="O36" s="426"/>
      <c r="P36" s="426"/>
      <c r="Q36" s="426"/>
      <c r="R36" s="426"/>
      <c r="S36" s="103"/>
      <c r="U36" s="381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3"/>
    </row>
    <row r="37" spans="2:34" ht="22.5" customHeight="1">
      <c r="B37" s="114"/>
      <c r="C37" s="423">
        <v>22</v>
      </c>
      <c r="D37" s="424" t="s">
        <v>211</v>
      </c>
      <c r="E37" s="425">
        <v>2020</v>
      </c>
      <c r="F37" s="425">
        <v>2020</v>
      </c>
      <c r="G37" s="426">
        <v>12352.94117647059</v>
      </c>
      <c r="H37" s="426"/>
      <c r="I37" s="426">
        <v>12352.94117647059</v>
      </c>
      <c r="J37" s="426"/>
      <c r="K37" s="426"/>
      <c r="L37" s="426"/>
      <c r="M37" s="426"/>
      <c r="N37" s="426"/>
      <c r="O37" s="426"/>
      <c r="P37" s="426"/>
      <c r="Q37" s="426"/>
      <c r="R37" s="426"/>
      <c r="S37" s="103"/>
      <c r="U37" s="381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3"/>
    </row>
    <row r="38" spans="2:34" ht="22.5" customHeight="1">
      <c r="B38" s="114"/>
      <c r="C38" s="423">
        <v>23</v>
      </c>
      <c r="D38" s="424" t="s">
        <v>1047</v>
      </c>
      <c r="E38" s="425">
        <v>2020</v>
      </c>
      <c r="F38" s="425">
        <v>2020</v>
      </c>
      <c r="G38" s="426">
        <v>226520</v>
      </c>
      <c r="H38" s="426"/>
      <c r="I38" s="426">
        <v>226520</v>
      </c>
      <c r="J38" s="426"/>
      <c r="K38" s="426"/>
      <c r="L38" s="426"/>
      <c r="M38" s="426"/>
      <c r="N38" s="426"/>
      <c r="O38" s="426"/>
      <c r="P38" s="426"/>
      <c r="Q38" s="426"/>
      <c r="R38" s="426"/>
      <c r="S38" s="103"/>
      <c r="U38" s="381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3"/>
    </row>
    <row r="39" spans="2:34" ht="22.5" customHeight="1">
      <c r="B39" s="114"/>
      <c r="C39" s="423">
        <v>24</v>
      </c>
      <c r="D39" s="424" t="s">
        <v>1025</v>
      </c>
      <c r="E39" s="425">
        <v>2020</v>
      </c>
      <c r="F39" s="425">
        <v>2020</v>
      </c>
      <c r="G39" s="426">
        <v>416916.4352941176</v>
      </c>
      <c r="H39" s="426"/>
      <c r="I39" s="426">
        <v>416916.4352941176</v>
      </c>
      <c r="J39" s="426"/>
      <c r="K39" s="426"/>
      <c r="L39" s="426"/>
      <c r="M39" s="426"/>
      <c r="N39" s="426"/>
      <c r="O39" s="426"/>
      <c r="P39" s="426"/>
      <c r="Q39" s="426"/>
      <c r="R39" s="426"/>
      <c r="S39" s="103"/>
      <c r="U39" s="381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3"/>
    </row>
    <row r="40" spans="2:34" ht="22.5" customHeight="1">
      <c r="B40" s="114"/>
      <c r="C40" s="423">
        <v>25</v>
      </c>
      <c r="D40" s="424" t="s">
        <v>213</v>
      </c>
      <c r="E40" s="425">
        <v>2020</v>
      </c>
      <c r="F40" s="425">
        <v>2020</v>
      </c>
      <c r="G40" s="426">
        <v>13760</v>
      </c>
      <c r="H40" s="426"/>
      <c r="I40" s="426">
        <v>13760</v>
      </c>
      <c r="J40" s="426"/>
      <c r="K40" s="426"/>
      <c r="L40" s="426"/>
      <c r="M40" s="426"/>
      <c r="N40" s="426"/>
      <c r="O40" s="426"/>
      <c r="P40" s="426"/>
      <c r="Q40" s="426"/>
      <c r="R40" s="426"/>
      <c r="S40" s="103"/>
      <c r="U40" s="381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3"/>
    </row>
    <row r="41" spans="2:34" ht="22.5" customHeight="1">
      <c r="B41" s="114"/>
      <c r="C41" s="423">
        <v>26</v>
      </c>
      <c r="D41" s="424" t="s">
        <v>214</v>
      </c>
      <c r="E41" s="425">
        <v>2020</v>
      </c>
      <c r="F41" s="425">
        <v>2020</v>
      </c>
      <c r="G41" s="426">
        <v>53000</v>
      </c>
      <c r="H41" s="426"/>
      <c r="I41" s="426">
        <v>53000</v>
      </c>
      <c r="J41" s="426"/>
      <c r="K41" s="426"/>
      <c r="L41" s="426"/>
      <c r="M41" s="426"/>
      <c r="N41" s="426"/>
      <c r="O41" s="426"/>
      <c r="P41" s="426"/>
      <c r="Q41" s="426"/>
      <c r="R41" s="426"/>
      <c r="S41" s="103"/>
      <c r="U41" s="381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3"/>
    </row>
    <row r="42" spans="2:34" ht="22.5" customHeight="1">
      <c r="B42" s="114"/>
      <c r="C42" s="423">
        <v>27</v>
      </c>
      <c r="D42" s="424" t="s">
        <v>1048</v>
      </c>
      <c r="E42" s="425">
        <v>2020</v>
      </c>
      <c r="F42" s="425">
        <v>2020</v>
      </c>
      <c r="G42" s="426">
        <v>50000</v>
      </c>
      <c r="H42" s="426"/>
      <c r="I42" s="426">
        <v>50000</v>
      </c>
      <c r="J42" s="426"/>
      <c r="K42" s="426"/>
      <c r="L42" s="426"/>
      <c r="M42" s="426"/>
      <c r="N42" s="426"/>
      <c r="O42" s="426"/>
      <c r="P42" s="426"/>
      <c r="Q42" s="426"/>
      <c r="R42" s="426"/>
      <c r="S42" s="103"/>
      <c r="U42" s="381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3"/>
    </row>
    <row r="43" spans="2:34" ht="22.5" customHeight="1">
      <c r="B43" s="114"/>
      <c r="C43" s="423"/>
      <c r="D43" s="424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103"/>
      <c r="U43" s="381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3"/>
    </row>
    <row r="44" spans="2:34" ht="22.5" customHeight="1">
      <c r="B44" s="114"/>
      <c r="C44" s="423"/>
      <c r="D44" s="424"/>
      <c r="E44" s="425"/>
      <c r="F44" s="425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103"/>
      <c r="U44" s="381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3"/>
    </row>
    <row r="45" spans="2:34" ht="22.5" customHeight="1">
      <c r="B45" s="114"/>
      <c r="C45" s="423"/>
      <c r="D45" s="424"/>
      <c r="E45" s="425"/>
      <c r="F45" s="425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103"/>
      <c r="U45" s="381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3"/>
    </row>
    <row r="46" spans="2:34" s="126" customFormat="1" ht="22.5" customHeight="1" thickBot="1">
      <c r="B46" s="114"/>
      <c r="C46" s="1354" t="s">
        <v>600</v>
      </c>
      <c r="D46" s="1355"/>
      <c r="E46" s="123">
        <f>MIN(E16:E45)</f>
        <v>2017</v>
      </c>
      <c r="F46" s="123">
        <f>MAX(F16:F45)</f>
        <v>2020</v>
      </c>
      <c r="G46" s="124">
        <f aca="true" t="shared" si="0" ref="G46:R46">SUM(G16:G45)</f>
        <v>13614826.134705884</v>
      </c>
      <c r="H46" s="124">
        <f t="shared" si="0"/>
        <v>8704558.380000003</v>
      </c>
      <c r="I46" s="124">
        <f t="shared" si="0"/>
        <v>4910267.754705882</v>
      </c>
      <c r="J46" s="124">
        <f t="shared" si="0"/>
        <v>0</v>
      </c>
      <c r="K46" s="124">
        <f t="shared" si="0"/>
        <v>0</v>
      </c>
      <c r="L46" s="124">
        <f t="shared" si="0"/>
        <v>0</v>
      </c>
      <c r="M46" s="124">
        <f t="shared" si="0"/>
        <v>0</v>
      </c>
      <c r="N46" s="124">
        <f t="shared" si="0"/>
        <v>0</v>
      </c>
      <c r="O46" s="124">
        <f t="shared" si="0"/>
        <v>0</v>
      </c>
      <c r="P46" s="124">
        <f t="shared" si="0"/>
        <v>0</v>
      </c>
      <c r="Q46" s="124">
        <f t="shared" si="0"/>
        <v>0</v>
      </c>
      <c r="R46" s="124">
        <f t="shared" si="0"/>
        <v>0</v>
      </c>
      <c r="S46" s="125"/>
      <c r="U46" s="381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3"/>
    </row>
    <row r="47" spans="2:34" s="126" customFormat="1" ht="22.5" customHeight="1">
      <c r="B47" s="114"/>
      <c r="C47" s="716"/>
      <c r="D47" s="716"/>
      <c r="E47" s="717"/>
      <c r="F47" s="71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125"/>
      <c r="U47" s="381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3"/>
    </row>
    <row r="48" spans="2:34" s="126" customFormat="1" ht="22.5" customHeight="1">
      <c r="B48" s="114"/>
      <c r="C48" s="718" t="s">
        <v>958</v>
      </c>
      <c r="D48" s="716"/>
      <c r="E48" s="717"/>
      <c r="F48" s="71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125"/>
      <c r="U48" s="381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3"/>
    </row>
    <row r="49" spans="2:34" s="126" customFormat="1" ht="22.5" customHeight="1">
      <c r="B49" s="114"/>
      <c r="C49" s="719" t="s">
        <v>959</v>
      </c>
      <c r="D49" s="716"/>
      <c r="E49" s="717"/>
      <c r="F49" s="720">
        <f>ejercicio-1</f>
        <v>2019</v>
      </c>
      <c r="G49" s="721" t="s">
        <v>960</v>
      </c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125"/>
      <c r="U49" s="381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3"/>
    </row>
    <row r="50" spans="2:34" s="126" customFormat="1" ht="22.5" customHeight="1">
      <c r="B50" s="114"/>
      <c r="C50" s="722" t="s">
        <v>961</v>
      </c>
      <c r="D50" s="716"/>
      <c r="E50" s="717"/>
      <c r="F50" s="71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125"/>
      <c r="U50" s="381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3"/>
    </row>
    <row r="51" spans="2:34" s="126" customFormat="1" ht="22.5" customHeight="1">
      <c r="B51" s="114"/>
      <c r="C51" s="719" t="s">
        <v>964</v>
      </c>
      <c r="D51" s="716"/>
      <c r="E51" s="717"/>
      <c r="F51" s="717"/>
      <c r="G51" s="720">
        <f>ejercicio-1</f>
        <v>2019</v>
      </c>
      <c r="H51" s="721" t="s">
        <v>965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125"/>
      <c r="U51" s="381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3"/>
    </row>
    <row r="52" spans="2:34" s="126" customFormat="1" ht="22.5" customHeight="1">
      <c r="B52" s="114"/>
      <c r="C52" s="719" t="s">
        <v>966</v>
      </c>
      <c r="D52" s="716"/>
      <c r="E52" s="717"/>
      <c r="F52" s="71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125"/>
      <c r="U52" s="381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3"/>
    </row>
    <row r="53" spans="2:34" s="126" customFormat="1" ht="22.5" customHeight="1">
      <c r="B53" s="114"/>
      <c r="C53" s="719" t="s">
        <v>1087</v>
      </c>
      <c r="D53" s="716"/>
      <c r="E53" s="717"/>
      <c r="F53" s="717"/>
      <c r="G53" s="720">
        <f>ejercicio-1</f>
        <v>2019</v>
      </c>
      <c r="H53" s="721" t="s">
        <v>1086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125"/>
      <c r="U53" s="381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3"/>
    </row>
    <row r="54" spans="2:34" s="126" customFormat="1" ht="22.5" customHeight="1">
      <c r="B54" s="114"/>
      <c r="C54" s="716"/>
      <c r="D54" s="716"/>
      <c r="E54" s="717"/>
      <c r="F54" s="71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125"/>
      <c r="U54" s="381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3"/>
    </row>
    <row r="55" spans="2:34" ht="22.5" customHeight="1" thickBot="1">
      <c r="B55" s="118"/>
      <c r="C55" s="1299"/>
      <c r="D55" s="1299"/>
      <c r="E55" s="1299"/>
      <c r="F55" s="1299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19"/>
      <c r="S55" s="120"/>
      <c r="U55" s="384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6"/>
    </row>
    <row r="56" spans="3:20" ht="22.5" customHeight="1">
      <c r="C56" s="101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T56" s="94" t="s">
        <v>83</v>
      </c>
    </row>
    <row r="57" spans="3:18" ht="12.75">
      <c r="C57" s="121" t="s">
        <v>286</v>
      </c>
      <c r="D57" s="10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92" t="s">
        <v>261</v>
      </c>
    </row>
    <row r="58" spans="3:18" ht="12.75">
      <c r="C58" s="122" t="s">
        <v>287</v>
      </c>
      <c r="D58" s="101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3:18" ht="12.75">
      <c r="C59" s="122" t="s">
        <v>288</v>
      </c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3:18" ht="12.75">
      <c r="C60" s="122" t="s">
        <v>289</v>
      </c>
      <c r="D60" s="101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3:18" ht="12.75">
      <c r="C61" s="122" t="s">
        <v>290</v>
      </c>
      <c r="D61" s="101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3:18" ht="22.5" customHeight="1">
      <c r="C62" s="101"/>
      <c r="D62" s="101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3:18" ht="22.5" customHeight="1">
      <c r="C63" s="101"/>
      <c r="D63" s="101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3:18" ht="22.5" customHeight="1">
      <c r="C64" s="101"/>
      <c r="D64" s="101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3:18" ht="22.5" customHeight="1">
      <c r="C65" s="101"/>
      <c r="D65" s="101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6:18" ht="22.5" customHeight="1"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SheetLayoutView="100" zoomScalePageLayoutView="125" workbookViewId="0" topLeftCell="A10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23.3359375" style="94" customWidth="1"/>
    <col min="5" max="14" width="13.4453125" style="95" customWidth="1"/>
    <col min="15" max="15" width="40.6640625" style="95" customWidth="1"/>
    <col min="16" max="16" width="3.3359375" style="94" customWidth="1"/>
    <col min="17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31" ht="9" customHeight="1">
      <c r="B5" s="96"/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R5" s="364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6"/>
    </row>
    <row r="6" spans="2:31" ht="30" customHeight="1">
      <c r="B6" s="100"/>
      <c r="C6" s="64" t="s">
        <v>216</v>
      </c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285">
        <f>ejercicio</f>
        <v>2020</v>
      </c>
      <c r="P6" s="103"/>
      <c r="R6" s="367"/>
      <c r="S6" s="368" t="s">
        <v>906</v>
      </c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70"/>
    </row>
    <row r="7" spans="2:31" ht="30" customHeight="1">
      <c r="B7" s="100"/>
      <c r="C7" s="64" t="s">
        <v>217</v>
      </c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285"/>
      <c r="P7" s="103"/>
      <c r="R7" s="367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70"/>
    </row>
    <row r="8" spans="2:31" ht="30" customHeight="1">
      <c r="B8" s="100"/>
      <c r="C8" s="104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5"/>
      <c r="P8" s="103"/>
      <c r="R8" s="367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70"/>
    </row>
    <row r="9" spans="2:31" s="62" customFormat="1" ht="30" customHeight="1">
      <c r="B9" s="106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07"/>
      <c r="R9" s="371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3"/>
    </row>
    <row r="10" spans="2:31" ht="6.75" customHeight="1">
      <c r="B10" s="100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R10" s="367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70"/>
    </row>
    <row r="11" spans="2:31" s="112" customFormat="1" ht="30" customHeight="1">
      <c r="B11" s="108"/>
      <c r="C11" s="109" t="s">
        <v>624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R11" s="374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6"/>
    </row>
    <row r="12" spans="2:31" s="112" customFormat="1" ht="30" customHeight="1">
      <c r="B12" s="108"/>
      <c r="C12" s="113"/>
      <c r="D12" s="11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11"/>
      <c r="R12" s="374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6"/>
    </row>
    <row r="13" spans="2:31" s="116" customFormat="1" ht="22.5" customHeight="1">
      <c r="B13" s="114"/>
      <c r="C13" s="1356"/>
      <c r="D13" s="1357"/>
      <c r="E13" s="189" t="s">
        <v>622</v>
      </c>
      <c r="F13" s="1360" t="s">
        <v>612</v>
      </c>
      <c r="G13" s="1361"/>
      <c r="H13" s="1361"/>
      <c r="I13" s="1361"/>
      <c r="J13" s="1361"/>
      <c r="K13" s="1361"/>
      <c r="L13" s="1362"/>
      <c r="M13" s="189" t="s">
        <v>623</v>
      </c>
      <c r="N13" s="189"/>
      <c r="O13" s="1358" t="s">
        <v>169</v>
      </c>
      <c r="P13" s="115"/>
      <c r="R13" s="367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70"/>
    </row>
    <row r="14" spans="2:31" ht="48.75" customHeight="1">
      <c r="B14" s="100"/>
      <c r="C14" s="198" t="s">
        <v>619</v>
      </c>
      <c r="D14" s="196">
        <f>ejercicio-1</f>
        <v>2019</v>
      </c>
      <c r="E14" s="197">
        <f>ejercicio-1</f>
        <v>2019</v>
      </c>
      <c r="F14" s="193" t="s">
        <v>614</v>
      </c>
      <c r="G14" s="194" t="s">
        <v>613</v>
      </c>
      <c r="H14" s="194" t="s">
        <v>615</v>
      </c>
      <c r="I14" s="194" t="s">
        <v>616</v>
      </c>
      <c r="J14" s="194" t="s">
        <v>617</v>
      </c>
      <c r="K14" s="194" t="s">
        <v>618</v>
      </c>
      <c r="L14" s="195" t="s">
        <v>603</v>
      </c>
      <c r="M14" s="197">
        <f>ejercicio-1</f>
        <v>2019</v>
      </c>
      <c r="N14" s="1208" t="s">
        <v>168</v>
      </c>
      <c r="O14" s="1359"/>
      <c r="P14" s="103"/>
      <c r="R14" s="367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70"/>
    </row>
    <row r="15" spans="2:31" s="117" customFormat="1" ht="22.5" customHeight="1">
      <c r="B15" s="114"/>
      <c r="C15" s="148" t="s">
        <v>605</v>
      </c>
      <c r="D15" s="149"/>
      <c r="E15" s="427">
        <v>4587856.77</v>
      </c>
      <c r="F15" s="428">
        <v>3932.32</v>
      </c>
      <c r="G15" s="429"/>
      <c r="H15" s="429"/>
      <c r="I15" s="429">
        <v>-680992.42</v>
      </c>
      <c r="J15" s="429"/>
      <c r="K15" s="429"/>
      <c r="L15" s="430"/>
      <c r="M15" s="165">
        <f>SUM(E15:L15)</f>
        <v>3910796.67</v>
      </c>
      <c r="N15" s="1209"/>
      <c r="O15" s="456"/>
      <c r="P15" s="115"/>
      <c r="R15" s="367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70"/>
    </row>
    <row r="16" spans="2:31" ht="22.5" customHeight="1">
      <c r="B16" s="114"/>
      <c r="C16" s="150" t="s">
        <v>608</v>
      </c>
      <c r="D16" s="151"/>
      <c r="E16" s="431">
        <v>1615664.28</v>
      </c>
      <c r="F16" s="432"/>
      <c r="G16" s="433"/>
      <c r="H16" s="433"/>
      <c r="I16" s="433"/>
      <c r="J16" s="433"/>
      <c r="K16" s="433"/>
      <c r="L16" s="434"/>
      <c r="M16" s="168">
        <f>SUM(E16:L16)</f>
        <v>1615664.28</v>
      </c>
      <c r="N16" s="1210"/>
      <c r="O16" s="443"/>
      <c r="P16" s="103"/>
      <c r="R16" s="367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70"/>
    </row>
    <row r="17" spans="2:31" ht="22.5" customHeight="1">
      <c r="B17" s="114"/>
      <c r="C17" s="150" t="s">
        <v>606</v>
      </c>
      <c r="D17" s="151"/>
      <c r="E17" s="431">
        <f>35556438.72-5255389.54+66730651.24+10954235.72</f>
        <v>107985936.14</v>
      </c>
      <c r="F17" s="432">
        <v>8700626.061036147</v>
      </c>
      <c r="G17" s="433"/>
      <c r="H17" s="433"/>
      <c r="I17" s="433">
        <v>-5882181.06</v>
      </c>
      <c r="J17" s="433"/>
      <c r="K17" s="433"/>
      <c r="L17" s="434"/>
      <c r="M17" s="168">
        <f>SUM(E17:L17)</f>
        <v>110804381.14103615</v>
      </c>
      <c r="N17" s="1210"/>
      <c r="O17" s="443"/>
      <c r="P17" s="103"/>
      <c r="R17" s="367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70"/>
    </row>
    <row r="18" spans="2:31" ht="22.5" customHeight="1">
      <c r="B18" s="114"/>
      <c r="C18" s="150" t="s">
        <v>609</v>
      </c>
      <c r="D18" s="151"/>
      <c r="E18" s="431"/>
      <c r="F18" s="432"/>
      <c r="G18" s="433"/>
      <c r="H18" s="433"/>
      <c r="I18" s="433"/>
      <c r="J18" s="433"/>
      <c r="K18" s="433"/>
      <c r="L18" s="434"/>
      <c r="M18" s="168">
        <f>SUM(E18:L18)</f>
        <v>0</v>
      </c>
      <c r="N18" s="1210"/>
      <c r="O18" s="443"/>
      <c r="P18" s="103"/>
      <c r="R18" s="367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70"/>
    </row>
    <row r="19" spans="2:31" ht="22.5" customHeight="1">
      <c r="B19" s="114"/>
      <c r="C19" s="152" t="s">
        <v>607</v>
      </c>
      <c r="D19" s="153"/>
      <c r="E19" s="435"/>
      <c r="F19" s="436"/>
      <c r="G19" s="437"/>
      <c r="H19" s="437"/>
      <c r="I19" s="437"/>
      <c r="J19" s="437"/>
      <c r="K19" s="437"/>
      <c r="L19" s="438"/>
      <c r="M19" s="169">
        <f>SUM(E19:L19)</f>
        <v>0</v>
      </c>
      <c r="N19" s="1211"/>
      <c r="O19" s="482"/>
      <c r="P19" s="103"/>
      <c r="R19" s="367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70"/>
    </row>
    <row r="20" spans="2:31" ht="22.5" customHeight="1" thickBot="1">
      <c r="B20" s="114"/>
      <c r="C20" s="154" t="s">
        <v>610</v>
      </c>
      <c r="D20" s="156"/>
      <c r="E20" s="124">
        <f>SUM(E15:E19)</f>
        <v>114189457.19</v>
      </c>
      <c r="F20" s="124">
        <f aca="true" t="shared" si="0" ref="F20:N20">SUM(F15:F19)</f>
        <v>8704558.381036147</v>
      </c>
      <c r="G20" s="124">
        <f t="shared" si="0"/>
        <v>0</v>
      </c>
      <c r="H20" s="124">
        <f t="shared" si="0"/>
        <v>0</v>
      </c>
      <c r="I20" s="124">
        <f t="shared" si="0"/>
        <v>-6563173.4799999995</v>
      </c>
      <c r="J20" s="124">
        <f t="shared" si="0"/>
        <v>0</v>
      </c>
      <c r="K20" s="124">
        <f t="shared" si="0"/>
        <v>0</v>
      </c>
      <c r="L20" s="124">
        <f t="shared" si="0"/>
        <v>0</v>
      </c>
      <c r="M20" s="124">
        <f t="shared" si="0"/>
        <v>116330842.09103616</v>
      </c>
      <c r="N20" s="124">
        <f t="shared" si="0"/>
        <v>0</v>
      </c>
      <c r="O20" s="157"/>
      <c r="P20" s="103"/>
      <c r="R20" s="367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70"/>
    </row>
    <row r="21" spans="2:31" ht="7.5" customHeight="1">
      <c r="B21" s="114"/>
      <c r="C21" s="144"/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03"/>
      <c r="R21" s="367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70"/>
    </row>
    <row r="22" spans="2:31" ht="22.5" customHeight="1" thickBot="1">
      <c r="B22" s="114"/>
      <c r="C22" s="159" t="s">
        <v>611</v>
      </c>
      <c r="D22" s="160"/>
      <c r="E22" s="498">
        <v>1074298.19</v>
      </c>
      <c r="F22" s="499"/>
      <c r="G22" s="500"/>
      <c r="H22" s="500"/>
      <c r="I22" s="500"/>
      <c r="J22" s="500"/>
      <c r="K22" s="500"/>
      <c r="L22" s="501"/>
      <c r="M22" s="124">
        <f>SUM(E22:L22)</f>
        <v>1074298.19</v>
      </c>
      <c r="N22" s="1207"/>
      <c r="O22" s="758"/>
      <c r="P22" s="103"/>
      <c r="R22" s="367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70"/>
    </row>
    <row r="23" spans="2:31" ht="22.5" customHeight="1">
      <c r="B23" s="114"/>
      <c r="C23" s="113"/>
      <c r="D23" s="11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03"/>
      <c r="R23" s="367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70"/>
    </row>
    <row r="24" spans="2:31" ht="22.5" customHeight="1">
      <c r="B24" s="114"/>
      <c r="C24" s="1356"/>
      <c r="D24" s="1357"/>
      <c r="E24" s="189" t="s">
        <v>622</v>
      </c>
      <c r="F24" s="1360" t="s">
        <v>612</v>
      </c>
      <c r="G24" s="1361"/>
      <c r="H24" s="1361"/>
      <c r="I24" s="1361"/>
      <c r="J24" s="1361"/>
      <c r="K24" s="1361"/>
      <c r="L24" s="1362"/>
      <c r="M24" s="189" t="s">
        <v>623</v>
      </c>
      <c r="N24" s="189"/>
      <c r="O24" s="1358" t="s">
        <v>169</v>
      </c>
      <c r="P24" s="103"/>
      <c r="R24" s="367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70"/>
    </row>
    <row r="25" spans="2:31" ht="48.75" customHeight="1">
      <c r="B25" s="114"/>
      <c r="C25" s="198" t="s">
        <v>620</v>
      </c>
      <c r="D25" s="196">
        <f>ejercicio</f>
        <v>2020</v>
      </c>
      <c r="E25" s="197">
        <f>ejercicio</f>
        <v>2020</v>
      </c>
      <c r="F25" s="193" t="s">
        <v>614</v>
      </c>
      <c r="G25" s="194" t="s">
        <v>613</v>
      </c>
      <c r="H25" s="194" t="s">
        <v>615</v>
      </c>
      <c r="I25" s="194" t="s">
        <v>616</v>
      </c>
      <c r="J25" s="194" t="s">
        <v>617</v>
      </c>
      <c r="K25" s="194" t="s">
        <v>618</v>
      </c>
      <c r="L25" s="195" t="s">
        <v>603</v>
      </c>
      <c r="M25" s="197">
        <f>ejercicio</f>
        <v>2020</v>
      </c>
      <c r="N25" s="1208" t="s">
        <v>168</v>
      </c>
      <c r="O25" s="1359"/>
      <c r="P25" s="103"/>
      <c r="R25" s="367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70"/>
    </row>
    <row r="26" spans="2:31" ht="22.5" customHeight="1">
      <c r="B26" s="114"/>
      <c r="C26" s="148" t="s">
        <v>605</v>
      </c>
      <c r="D26" s="149"/>
      <c r="E26" s="165">
        <f>+M15</f>
        <v>3910796.67</v>
      </c>
      <c r="F26" s="428"/>
      <c r="G26" s="429"/>
      <c r="H26" s="429"/>
      <c r="I26" s="429">
        <v>-676733.85</v>
      </c>
      <c r="J26" s="429"/>
      <c r="K26" s="429"/>
      <c r="L26" s="430"/>
      <c r="M26" s="165">
        <f>SUM(E26:L26)</f>
        <v>3234062.82</v>
      </c>
      <c r="N26" s="1209"/>
      <c r="O26" s="456"/>
      <c r="P26" s="103"/>
      <c r="R26" s="367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70"/>
    </row>
    <row r="27" spans="2:31" ht="22.5" customHeight="1">
      <c r="B27" s="114"/>
      <c r="C27" s="150" t="s">
        <v>608</v>
      </c>
      <c r="D27" s="151"/>
      <c r="E27" s="168">
        <f>+M16</f>
        <v>1615664.28</v>
      </c>
      <c r="F27" s="432"/>
      <c r="G27" s="433"/>
      <c r="H27" s="433"/>
      <c r="I27" s="433"/>
      <c r="J27" s="433"/>
      <c r="K27" s="433"/>
      <c r="L27" s="434"/>
      <c r="M27" s="168">
        <f>SUM(E27:L27)</f>
        <v>1615664.28</v>
      </c>
      <c r="N27" s="1210"/>
      <c r="O27" s="443"/>
      <c r="P27" s="103"/>
      <c r="R27" s="367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70"/>
    </row>
    <row r="28" spans="2:31" ht="22.5" customHeight="1">
      <c r="B28" s="114"/>
      <c r="C28" s="150" t="s">
        <v>606</v>
      </c>
      <c r="D28" s="151"/>
      <c r="E28" s="168">
        <f>+M17</f>
        <v>110804381.14103615</v>
      </c>
      <c r="F28" s="432">
        <f>5110267.75346974-200000</f>
        <v>4910267.75346974</v>
      </c>
      <c r="G28" s="433"/>
      <c r="H28" s="433"/>
      <c r="I28" s="433">
        <v>-6079941.904500001</v>
      </c>
      <c r="J28" s="433"/>
      <c r="K28" s="433"/>
      <c r="L28" s="434"/>
      <c r="M28" s="168">
        <f>SUM(E28:L28)</f>
        <v>109634706.99000588</v>
      </c>
      <c r="N28" s="1210"/>
      <c r="O28" s="1152"/>
      <c r="P28" s="103"/>
      <c r="R28" s="367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70"/>
    </row>
    <row r="29" spans="2:31" ht="22.5" customHeight="1">
      <c r="B29" s="114"/>
      <c r="C29" s="150" t="s">
        <v>609</v>
      </c>
      <c r="D29" s="151"/>
      <c r="E29" s="168">
        <f>+M18</f>
        <v>0</v>
      </c>
      <c r="F29" s="432"/>
      <c r="G29" s="433"/>
      <c r="H29" s="433"/>
      <c r="I29" s="433"/>
      <c r="J29" s="433"/>
      <c r="K29" s="433"/>
      <c r="L29" s="434"/>
      <c r="M29" s="168">
        <f>SUM(E29:L29)</f>
        <v>0</v>
      </c>
      <c r="N29" s="1210"/>
      <c r="O29" s="443"/>
      <c r="P29" s="103"/>
      <c r="R29" s="367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70"/>
    </row>
    <row r="30" spans="2:31" ht="22.5" customHeight="1">
      <c r="B30" s="114"/>
      <c r="C30" s="152" t="s">
        <v>607</v>
      </c>
      <c r="D30" s="153"/>
      <c r="E30" s="169">
        <f>+M19</f>
        <v>0</v>
      </c>
      <c r="F30" s="436"/>
      <c r="G30" s="437"/>
      <c r="H30" s="437"/>
      <c r="I30" s="437"/>
      <c r="J30" s="437"/>
      <c r="K30" s="437"/>
      <c r="L30" s="438"/>
      <c r="M30" s="169">
        <f>SUM(E30:L30)</f>
        <v>0</v>
      </c>
      <c r="N30" s="1211"/>
      <c r="O30" s="482"/>
      <c r="P30" s="103"/>
      <c r="R30" s="378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80"/>
    </row>
    <row r="31" spans="2:31" ht="22.5" customHeight="1" thickBot="1">
      <c r="B31" s="114"/>
      <c r="C31" s="154" t="s">
        <v>610</v>
      </c>
      <c r="D31" s="156"/>
      <c r="E31" s="124">
        <f aca="true" t="shared" si="1" ref="E31:N31">SUM(E26:E30)</f>
        <v>116330842.09103616</v>
      </c>
      <c r="F31" s="124">
        <f t="shared" si="1"/>
        <v>4910267.75346974</v>
      </c>
      <c r="G31" s="124">
        <f t="shared" si="1"/>
        <v>0</v>
      </c>
      <c r="H31" s="124">
        <f t="shared" si="1"/>
        <v>0</v>
      </c>
      <c r="I31" s="124">
        <f t="shared" si="1"/>
        <v>-6756675.754500001</v>
      </c>
      <c r="J31" s="124">
        <f t="shared" si="1"/>
        <v>0</v>
      </c>
      <c r="K31" s="124">
        <f t="shared" si="1"/>
        <v>0</v>
      </c>
      <c r="L31" s="124">
        <f t="shared" si="1"/>
        <v>0</v>
      </c>
      <c r="M31" s="124">
        <f t="shared" si="1"/>
        <v>114484434.09000587</v>
      </c>
      <c r="N31" s="124">
        <f t="shared" si="1"/>
        <v>0</v>
      </c>
      <c r="O31" s="157"/>
      <c r="P31" s="103"/>
      <c r="R31" s="378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80"/>
    </row>
    <row r="32" spans="2:31" ht="9" customHeight="1">
      <c r="B32" s="114"/>
      <c r="C32" s="144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03"/>
      <c r="R32" s="367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70"/>
    </row>
    <row r="33" spans="2:31" ht="22.5" customHeight="1" thickBot="1">
      <c r="B33" s="114"/>
      <c r="C33" s="159" t="s">
        <v>611</v>
      </c>
      <c r="D33" s="160"/>
      <c r="E33" s="124">
        <f>+M22</f>
        <v>1074298.19</v>
      </c>
      <c r="F33" s="499"/>
      <c r="G33" s="500"/>
      <c r="H33" s="500"/>
      <c r="I33" s="500"/>
      <c r="J33" s="500"/>
      <c r="K33" s="500">
        <v>-900</v>
      </c>
      <c r="L33" s="501"/>
      <c r="M33" s="124">
        <f>SUM(E33:L33)</f>
        <v>1073398.19</v>
      </c>
      <c r="N33" s="1207"/>
      <c r="O33" s="758"/>
      <c r="P33" s="103"/>
      <c r="R33" s="367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70"/>
    </row>
    <row r="34" spans="2:31" ht="22.5" customHeight="1">
      <c r="B34" s="114"/>
      <c r="C34" s="113"/>
      <c r="D34" s="11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103"/>
      <c r="R34" s="367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70"/>
    </row>
    <row r="35" spans="2:31" ht="22.5" customHeight="1">
      <c r="B35" s="114"/>
      <c r="C35" s="164" t="s">
        <v>621</v>
      </c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93"/>
      <c r="P35" s="103"/>
      <c r="R35" s="367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70"/>
    </row>
    <row r="36" spans="2:31" ht="18">
      <c r="B36" s="114"/>
      <c r="C36" s="162" t="s">
        <v>1094</v>
      </c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93"/>
      <c r="P36" s="103"/>
      <c r="R36" s="381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3"/>
    </row>
    <row r="37" spans="2:31" ht="18">
      <c r="B37" s="114"/>
      <c r="C37" s="162" t="s">
        <v>1095</v>
      </c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93"/>
      <c r="P37" s="103"/>
      <c r="R37" s="381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3"/>
    </row>
    <row r="38" spans="2:31" ht="18">
      <c r="B38" s="114"/>
      <c r="C38" s="162" t="s">
        <v>1096</v>
      </c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93"/>
      <c r="P38" s="103"/>
      <c r="R38" s="381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3"/>
    </row>
    <row r="39" spans="2:31" ht="18">
      <c r="B39" s="114"/>
      <c r="C39" s="162" t="s">
        <v>1097</v>
      </c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93"/>
      <c r="P39" s="103"/>
      <c r="R39" s="381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3"/>
    </row>
    <row r="40" spans="2:31" ht="18">
      <c r="B40" s="114"/>
      <c r="C40" s="162" t="s">
        <v>1102</v>
      </c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93"/>
      <c r="P40" s="103"/>
      <c r="R40" s="381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3"/>
    </row>
    <row r="41" spans="2:31" ht="18">
      <c r="B41" s="114"/>
      <c r="C41" s="162" t="s">
        <v>1098</v>
      </c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93"/>
      <c r="P41" s="103"/>
      <c r="R41" s="381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3"/>
    </row>
    <row r="42" spans="2:31" ht="18">
      <c r="B42" s="114"/>
      <c r="C42" s="162" t="s">
        <v>1099</v>
      </c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93"/>
      <c r="P42" s="103"/>
      <c r="R42" s="381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3"/>
    </row>
    <row r="43" spans="2:31" ht="18">
      <c r="B43" s="114"/>
      <c r="C43" s="162" t="s">
        <v>1100</v>
      </c>
      <c r="D43" s="162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93"/>
      <c r="P43" s="103"/>
      <c r="R43" s="381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3"/>
    </row>
    <row r="44" spans="2:31" ht="18">
      <c r="B44" s="114"/>
      <c r="C44" s="162" t="s">
        <v>1101</v>
      </c>
      <c r="D44" s="16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93"/>
      <c r="P44" s="103"/>
      <c r="R44" s="381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3"/>
    </row>
    <row r="45" spans="2:31" ht="18">
      <c r="B45" s="114"/>
      <c r="C45" s="162" t="s">
        <v>171</v>
      </c>
      <c r="D45" s="162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93"/>
      <c r="P45" s="103"/>
      <c r="R45" s="381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3"/>
    </row>
    <row r="46" spans="2:31" ht="18">
      <c r="B46" s="114"/>
      <c r="C46" s="162" t="s">
        <v>170</v>
      </c>
      <c r="D46" s="162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93"/>
      <c r="P46" s="103"/>
      <c r="R46" s="381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3"/>
    </row>
    <row r="47" spans="2:31" ht="22.5" customHeight="1" thickBot="1">
      <c r="B47" s="118"/>
      <c r="C47" s="1299"/>
      <c r="D47" s="1299"/>
      <c r="E47" s="1299"/>
      <c r="F47" s="1299"/>
      <c r="G47" s="52"/>
      <c r="H47" s="52"/>
      <c r="I47" s="52"/>
      <c r="J47" s="52"/>
      <c r="K47" s="52"/>
      <c r="L47" s="52"/>
      <c r="M47" s="52"/>
      <c r="N47" s="52"/>
      <c r="O47" s="119"/>
      <c r="P47" s="120"/>
      <c r="R47" s="384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6"/>
    </row>
    <row r="48" spans="3:17" ht="22.5" customHeight="1">
      <c r="C48" s="101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Q48" s="94" t="s">
        <v>83</v>
      </c>
    </row>
    <row r="49" spans="3:15" ht="12.75">
      <c r="C49" s="121" t="s">
        <v>286</v>
      </c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92" t="s">
        <v>265</v>
      </c>
    </row>
    <row r="50" spans="3:15" ht="12.75">
      <c r="C50" s="122" t="s">
        <v>287</v>
      </c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3:15" ht="12.75">
      <c r="C51" s="122" t="s">
        <v>288</v>
      </c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3:15" ht="12.75">
      <c r="C52" s="122" t="s">
        <v>289</v>
      </c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3:15" ht="12.75">
      <c r="C53" s="122" t="s">
        <v>290</v>
      </c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3:15" ht="22.5" customHeight="1">
      <c r="C54" s="101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3:15" ht="22.5" customHeight="1">
      <c r="C55" s="101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3:15" ht="22.5" customHeight="1">
      <c r="C56" s="101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3:15" ht="22.5" customHeight="1">
      <c r="C57" s="101"/>
      <c r="D57" s="10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6:15" ht="22.5" customHeight="1"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SheetLayoutView="50" zoomScalePageLayoutView="125" workbookViewId="0" topLeftCell="A7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23.3359375" style="94" customWidth="1"/>
    <col min="5" max="12" width="13.4453125" style="95" customWidth="1"/>
    <col min="13" max="13" width="25.6640625" style="95" customWidth="1"/>
    <col min="14" max="14" width="3.3359375" style="94" customWidth="1"/>
    <col min="15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29" ht="9" customHeight="1">
      <c r="B5" s="96"/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9"/>
      <c r="P5" s="364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6"/>
    </row>
    <row r="6" spans="2:29" ht="30" customHeight="1">
      <c r="B6" s="100"/>
      <c r="C6" s="64" t="s">
        <v>216</v>
      </c>
      <c r="D6" s="101"/>
      <c r="E6" s="102"/>
      <c r="F6" s="102"/>
      <c r="G6" s="102"/>
      <c r="H6" s="102"/>
      <c r="I6" s="102"/>
      <c r="J6" s="102"/>
      <c r="K6" s="102"/>
      <c r="L6" s="102"/>
      <c r="M6" s="1285">
        <f>ejercicio</f>
        <v>2020</v>
      </c>
      <c r="N6" s="103"/>
      <c r="P6" s="367"/>
      <c r="Q6" s="368" t="s">
        <v>906</v>
      </c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70"/>
    </row>
    <row r="7" spans="2:29" ht="30" customHeight="1">
      <c r="B7" s="100"/>
      <c r="C7" s="64" t="s">
        <v>217</v>
      </c>
      <c r="D7" s="101"/>
      <c r="E7" s="102"/>
      <c r="F7" s="102"/>
      <c r="G7" s="102"/>
      <c r="H7" s="102"/>
      <c r="I7" s="102"/>
      <c r="J7" s="102"/>
      <c r="K7" s="102"/>
      <c r="L7" s="102"/>
      <c r="M7" s="1285"/>
      <c r="N7" s="103"/>
      <c r="P7" s="367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70"/>
    </row>
    <row r="8" spans="2:29" ht="30" customHeight="1">
      <c r="B8" s="100"/>
      <c r="C8" s="104"/>
      <c r="D8" s="101"/>
      <c r="E8" s="102"/>
      <c r="F8" s="102"/>
      <c r="G8" s="102"/>
      <c r="H8" s="102"/>
      <c r="I8" s="102"/>
      <c r="J8" s="102"/>
      <c r="K8" s="102"/>
      <c r="L8" s="102"/>
      <c r="M8" s="105"/>
      <c r="N8" s="103"/>
      <c r="P8" s="367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70"/>
    </row>
    <row r="9" spans="2:29" s="62" customFormat="1" ht="30" customHeight="1">
      <c r="B9" s="106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1300"/>
      <c r="J9" s="1300"/>
      <c r="K9" s="1300"/>
      <c r="L9" s="1300"/>
      <c r="M9" s="1300"/>
      <c r="N9" s="107"/>
      <c r="P9" s="371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3"/>
    </row>
    <row r="10" spans="2:29" ht="6.75" customHeight="1">
      <c r="B10" s="100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P10" s="367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70"/>
    </row>
    <row r="11" spans="2:29" s="112" customFormat="1" ht="30" customHeight="1">
      <c r="B11" s="108"/>
      <c r="C11" s="109" t="s">
        <v>625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P11" s="374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6"/>
    </row>
    <row r="12" spans="2:29" s="112" customFormat="1" ht="30" customHeight="1">
      <c r="B12" s="108"/>
      <c r="C12" s="1369"/>
      <c r="D12" s="1369"/>
      <c r="E12" s="93"/>
      <c r="F12" s="93"/>
      <c r="G12" s="93"/>
      <c r="H12" s="93"/>
      <c r="I12" s="93"/>
      <c r="J12" s="93"/>
      <c r="K12" s="93"/>
      <c r="L12" s="93"/>
      <c r="M12" s="93"/>
      <c r="N12" s="111"/>
      <c r="P12" s="374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6"/>
    </row>
    <row r="13" spans="2:29" s="112" customFormat="1" ht="30" customHeight="1">
      <c r="B13" s="108"/>
      <c r="C13" s="63" t="s">
        <v>636</v>
      </c>
      <c r="D13" s="21"/>
      <c r="E13" s="93"/>
      <c r="F13" s="93"/>
      <c r="G13" s="93"/>
      <c r="H13" s="93"/>
      <c r="I13" s="93"/>
      <c r="J13" s="93"/>
      <c r="K13" s="93"/>
      <c r="L13" s="93"/>
      <c r="M13" s="93"/>
      <c r="N13" s="111"/>
      <c r="P13" s="367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70"/>
    </row>
    <row r="14" spans="2:29" s="112" customFormat="1" ht="30" customHeight="1">
      <c r="B14" s="108"/>
      <c r="C14" s="21"/>
      <c r="D14" s="21"/>
      <c r="E14" s="93"/>
      <c r="F14" s="93"/>
      <c r="G14" s="93"/>
      <c r="H14" s="93"/>
      <c r="I14" s="93"/>
      <c r="J14" s="93"/>
      <c r="K14" s="93"/>
      <c r="L14" s="93"/>
      <c r="M14" s="93"/>
      <c r="N14" s="111"/>
      <c r="P14" s="367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70"/>
    </row>
    <row r="15" spans="2:29" s="116" customFormat="1" ht="22.5" customHeight="1">
      <c r="B15" s="114"/>
      <c r="C15" s="187"/>
      <c r="D15" s="188"/>
      <c r="E15" s="189" t="s">
        <v>627</v>
      </c>
      <c r="F15" s="189" t="s">
        <v>604</v>
      </c>
      <c r="G15" s="1360" t="s">
        <v>612</v>
      </c>
      <c r="H15" s="1361"/>
      <c r="I15" s="1361"/>
      <c r="J15" s="189" t="s">
        <v>623</v>
      </c>
      <c r="K15" s="189" t="s">
        <v>632</v>
      </c>
      <c r="L15" s="189" t="s">
        <v>633</v>
      </c>
      <c r="M15" s="1358" t="s">
        <v>1104</v>
      </c>
      <c r="N15" s="115"/>
      <c r="P15" s="367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70"/>
    </row>
    <row r="16" spans="2:29" ht="48.75" customHeight="1">
      <c r="B16" s="100"/>
      <c r="C16" s="190" t="s">
        <v>626</v>
      </c>
      <c r="D16" s="191"/>
      <c r="E16" s="192" t="s">
        <v>628</v>
      </c>
      <c r="F16" s="192">
        <f>ejercicio</f>
        <v>2020</v>
      </c>
      <c r="G16" s="193" t="s">
        <v>629</v>
      </c>
      <c r="H16" s="194" t="s">
        <v>630</v>
      </c>
      <c r="I16" s="195" t="s">
        <v>631</v>
      </c>
      <c r="J16" s="192">
        <f>ejercicio</f>
        <v>2020</v>
      </c>
      <c r="K16" s="192" t="s">
        <v>1103</v>
      </c>
      <c r="L16" s="192">
        <f>ejercicio</f>
        <v>2020</v>
      </c>
      <c r="M16" s="1359"/>
      <c r="N16" s="103"/>
      <c r="P16" s="367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70"/>
    </row>
    <row r="17" spans="2:29" ht="30" customHeight="1" thickBot="1">
      <c r="B17" s="100"/>
      <c r="C17" s="1373" t="s">
        <v>634</v>
      </c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03"/>
      <c r="P17" s="367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70"/>
    </row>
    <row r="18" spans="2:29" s="117" customFormat="1" ht="22.5" customHeight="1">
      <c r="B18" s="114"/>
      <c r="C18" s="1370" t="s">
        <v>1008</v>
      </c>
      <c r="D18" s="1371"/>
      <c r="E18" s="767">
        <v>2403</v>
      </c>
      <c r="F18" s="439">
        <v>10676000</v>
      </c>
      <c r="G18" s="440"/>
      <c r="H18" s="440"/>
      <c r="I18" s="440"/>
      <c r="J18" s="176">
        <f aca="true" t="shared" si="0" ref="J18:J24">SUM(F18:I18)</f>
        <v>10676000</v>
      </c>
      <c r="K18" s="445">
        <v>1</v>
      </c>
      <c r="L18" s="446"/>
      <c r="M18" s="763"/>
      <c r="N18" s="115"/>
      <c r="P18" s="367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70"/>
    </row>
    <row r="19" spans="2:29" ht="22.5" customHeight="1">
      <c r="B19" s="114"/>
      <c r="C19" s="1363" t="s">
        <v>1009</v>
      </c>
      <c r="D19" s="1364"/>
      <c r="E19" s="768">
        <v>2403</v>
      </c>
      <c r="F19" s="432">
        <v>60200</v>
      </c>
      <c r="G19" s="433">
        <f>375000</f>
        <v>375000</v>
      </c>
      <c r="H19" s="433"/>
      <c r="I19" s="433"/>
      <c r="J19" s="168">
        <f t="shared" si="0"/>
        <v>435200</v>
      </c>
      <c r="K19" s="447">
        <v>1</v>
      </c>
      <c r="L19" s="448"/>
      <c r="M19" s="764"/>
      <c r="N19" s="103"/>
      <c r="P19" s="367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70"/>
    </row>
    <row r="20" spans="2:29" ht="22.5" customHeight="1">
      <c r="B20" s="114"/>
      <c r="C20" s="1363" t="s">
        <v>1049</v>
      </c>
      <c r="D20" s="1364"/>
      <c r="E20" s="768">
        <v>2403</v>
      </c>
      <c r="F20" s="432">
        <v>210354.24</v>
      </c>
      <c r="G20" s="433"/>
      <c r="H20" s="433"/>
      <c r="I20" s="433"/>
      <c r="J20" s="168">
        <f t="shared" si="0"/>
        <v>210354.24</v>
      </c>
      <c r="K20" s="447">
        <v>0.5</v>
      </c>
      <c r="L20" s="448">
        <f>189919.37/2</f>
        <v>94959.685</v>
      </c>
      <c r="M20" s="764"/>
      <c r="N20" s="103"/>
      <c r="P20" s="367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70"/>
    </row>
    <row r="21" spans="2:29" ht="22.5" customHeight="1">
      <c r="B21" s="114"/>
      <c r="C21" s="1363" t="s">
        <v>1050</v>
      </c>
      <c r="D21" s="1364"/>
      <c r="E21" s="768">
        <v>2404</v>
      </c>
      <c r="F21" s="432">
        <v>1626810</v>
      </c>
      <c r="G21" s="433"/>
      <c r="H21" s="433"/>
      <c r="I21" s="433"/>
      <c r="J21" s="168">
        <f t="shared" si="0"/>
        <v>1626810</v>
      </c>
      <c r="K21" s="447">
        <v>0.3994</v>
      </c>
      <c r="L21" s="448">
        <v>300000</v>
      </c>
      <c r="M21" s="764"/>
      <c r="N21" s="103"/>
      <c r="P21" s="367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70"/>
    </row>
    <row r="22" spans="2:29" ht="22.5" customHeight="1">
      <c r="B22" s="114"/>
      <c r="C22" s="1363" t="s">
        <v>1051</v>
      </c>
      <c r="D22" s="1364"/>
      <c r="E22" s="769">
        <v>2404</v>
      </c>
      <c r="F22" s="441">
        <v>2250000</v>
      </c>
      <c r="G22" s="442"/>
      <c r="H22" s="442"/>
      <c r="I22" s="442"/>
      <c r="J22" s="168">
        <f t="shared" si="0"/>
        <v>2250000</v>
      </c>
      <c r="K22" s="449">
        <v>0.3</v>
      </c>
      <c r="L22" s="450">
        <v>350000</v>
      </c>
      <c r="M22" s="765"/>
      <c r="N22" s="103"/>
      <c r="P22" s="367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70"/>
    </row>
    <row r="23" spans="2:29" ht="22.5" customHeight="1">
      <c r="B23" s="114"/>
      <c r="C23" s="1363" t="s">
        <v>1052</v>
      </c>
      <c r="D23" s="1364"/>
      <c r="E23" s="769">
        <v>2404</v>
      </c>
      <c r="F23" s="441">
        <v>551567.1</v>
      </c>
      <c r="G23" s="442"/>
      <c r="H23" s="442"/>
      <c r="I23" s="442"/>
      <c r="J23" s="168">
        <f t="shared" si="0"/>
        <v>551567.1</v>
      </c>
      <c r="K23" s="449">
        <v>0.2176</v>
      </c>
      <c r="L23" s="450">
        <v>1165080</v>
      </c>
      <c r="M23" s="765"/>
      <c r="N23" s="103"/>
      <c r="P23" s="367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70"/>
    </row>
    <row r="24" spans="2:29" ht="22.5" customHeight="1">
      <c r="B24" s="114"/>
      <c r="C24" s="1246" t="s">
        <v>1053</v>
      </c>
      <c r="D24" s="377"/>
      <c r="E24" s="770">
        <v>2404</v>
      </c>
      <c r="F24" s="436">
        <v>0</v>
      </c>
      <c r="G24" s="437"/>
      <c r="H24" s="437"/>
      <c r="I24" s="437"/>
      <c r="J24" s="169">
        <f t="shared" si="0"/>
        <v>0</v>
      </c>
      <c r="K24" s="451"/>
      <c r="L24" s="452"/>
      <c r="M24" s="766"/>
      <c r="N24" s="103"/>
      <c r="P24" s="367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70"/>
    </row>
    <row r="25" spans="2:29" ht="22.5" customHeight="1" thickBot="1">
      <c r="B25" s="114"/>
      <c r="C25" s="154" t="s">
        <v>610</v>
      </c>
      <c r="D25" s="156"/>
      <c r="E25" s="124"/>
      <c r="F25" s="124">
        <f>SUM(F18:F24)</f>
        <v>15374931.34</v>
      </c>
      <c r="G25" s="124">
        <f>SUM(G18:G24)</f>
        <v>375000</v>
      </c>
      <c r="H25" s="124">
        <f>SUM(H18:H24)</f>
        <v>0</v>
      </c>
      <c r="I25" s="124">
        <f>SUM(I18:I24)</f>
        <v>0</v>
      </c>
      <c r="J25" s="124">
        <f>SUM(J18:J24)</f>
        <v>15749931.34</v>
      </c>
      <c r="K25" s="172"/>
      <c r="L25" s="124">
        <f>SUM(L18:L24)</f>
        <v>1910039.685</v>
      </c>
      <c r="M25" s="157"/>
      <c r="N25" s="103"/>
      <c r="P25" s="367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70"/>
    </row>
    <row r="26" spans="2:29" ht="30" customHeight="1" thickBot="1">
      <c r="B26" s="100"/>
      <c r="C26" s="1374" t="s">
        <v>635</v>
      </c>
      <c r="D26" s="1374"/>
      <c r="E26" s="1374"/>
      <c r="F26" s="1374"/>
      <c r="G26" s="1374"/>
      <c r="H26" s="1374"/>
      <c r="I26" s="1374"/>
      <c r="J26" s="1374"/>
      <c r="K26" s="1374"/>
      <c r="L26" s="1374"/>
      <c r="M26" s="1374"/>
      <c r="N26" s="103"/>
      <c r="P26" s="367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70"/>
    </row>
    <row r="27" spans="2:29" ht="22.5" customHeight="1">
      <c r="B27" s="114"/>
      <c r="C27" s="1370" t="s">
        <v>1054</v>
      </c>
      <c r="D27" s="1372"/>
      <c r="E27" s="1247">
        <v>5328</v>
      </c>
      <c r="F27" s="439">
        <v>2665778.6</v>
      </c>
      <c r="G27" s="440">
        <v>628895.8299999996</v>
      </c>
      <c r="H27" s="440"/>
      <c r="I27" s="440"/>
      <c r="J27" s="176">
        <f aca="true" t="shared" si="1" ref="J27:J33">SUM(F27:I27)</f>
        <v>3294674.4299999997</v>
      </c>
      <c r="K27" s="445"/>
      <c r="L27" s="446"/>
      <c r="M27" s="763"/>
      <c r="N27" s="115"/>
      <c r="P27" s="367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70"/>
    </row>
    <row r="28" spans="2:29" ht="22.5" customHeight="1">
      <c r="B28" s="114"/>
      <c r="C28" s="1363" t="s">
        <v>1055</v>
      </c>
      <c r="D28" s="1368"/>
      <c r="E28" s="1248">
        <v>552</v>
      </c>
      <c r="F28" s="432">
        <v>59503.85</v>
      </c>
      <c r="G28" s="433">
        <v>100000</v>
      </c>
      <c r="H28" s="433"/>
      <c r="I28" s="433"/>
      <c r="J28" s="168">
        <f t="shared" si="1"/>
        <v>159503.85</v>
      </c>
      <c r="K28" s="447"/>
      <c r="L28" s="448"/>
      <c r="M28" s="764"/>
      <c r="N28" s="103"/>
      <c r="P28" s="367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70"/>
    </row>
    <row r="29" spans="2:29" ht="22.5" customHeight="1">
      <c r="B29" s="114"/>
      <c r="C29" s="1363"/>
      <c r="D29" s="1368"/>
      <c r="E29" s="768"/>
      <c r="F29" s="432"/>
      <c r="G29" s="433"/>
      <c r="H29" s="433"/>
      <c r="I29" s="433"/>
      <c r="J29" s="168">
        <f t="shared" si="1"/>
        <v>0</v>
      </c>
      <c r="K29" s="447"/>
      <c r="L29" s="448"/>
      <c r="M29" s="764"/>
      <c r="N29" s="103"/>
      <c r="P29" s="367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70"/>
    </row>
    <row r="30" spans="2:29" ht="22.5" customHeight="1">
      <c r="B30" s="114"/>
      <c r="C30" s="1363"/>
      <c r="D30" s="1368"/>
      <c r="E30" s="768"/>
      <c r="F30" s="432"/>
      <c r="G30" s="433"/>
      <c r="H30" s="433"/>
      <c r="I30" s="433"/>
      <c r="J30" s="168">
        <f t="shared" si="1"/>
        <v>0</v>
      </c>
      <c r="K30" s="447"/>
      <c r="L30" s="448"/>
      <c r="M30" s="764"/>
      <c r="N30" s="103"/>
      <c r="P30" s="378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80"/>
    </row>
    <row r="31" spans="2:29" ht="22.5" customHeight="1">
      <c r="B31" s="114"/>
      <c r="C31" s="1365"/>
      <c r="D31" s="1364"/>
      <c r="E31" s="769"/>
      <c r="F31" s="441"/>
      <c r="G31" s="442"/>
      <c r="H31" s="442"/>
      <c r="I31" s="442"/>
      <c r="J31" s="168">
        <f t="shared" si="1"/>
        <v>0</v>
      </c>
      <c r="K31" s="449"/>
      <c r="L31" s="450"/>
      <c r="M31" s="765"/>
      <c r="N31" s="103"/>
      <c r="P31" s="378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80"/>
    </row>
    <row r="32" spans="2:29" ht="22.5" customHeight="1">
      <c r="B32" s="114"/>
      <c r="C32" s="1365"/>
      <c r="D32" s="1364"/>
      <c r="E32" s="769"/>
      <c r="F32" s="441"/>
      <c r="G32" s="442"/>
      <c r="H32" s="442"/>
      <c r="I32" s="442"/>
      <c r="J32" s="168">
        <f t="shared" si="1"/>
        <v>0</v>
      </c>
      <c r="K32" s="449"/>
      <c r="L32" s="450"/>
      <c r="M32" s="765"/>
      <c r="N32" s="103"/>
      <c r="P32" s="367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70"/>
    </row>
    <row r="33" spans="2:29" ht="22.5" customHeight="1">
      <c r="B33" s="114"/>
      <c r="C33" s="1366"/>
      <c r="D33" s="1367"/>
      <c r="E33" s="770"/>
      <c r="F33" s="436"/>
      <c r="G33" s="437"/>
      <c r="H33" s="437"/>
      <c r="I33" s="437"/>
      <c r="J33" s="169">
        <f t="shared" si="1"/>
        <v>0</v>
      </c>
      <c r="K33" s="451"/>
      <c r="L33" s="452"/>
      <c r="M33" s="766"/>
      <c r="N33" s="103"/>
      <c r="P33" s="367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70"/>
    </row>
    <row r="34" spans="2:29" ht="22.5" customHeight="1" thickBot="1">
      <c r="B34" s="114"/>
      <c r="C34" s="154" t="s">
        <v>610</v>
      </c>
      <c r="D34" s="156"/>
      <c r="E34" s="124"/>
      <c r="F34" s="124">
        <f>SUM(F27:F33)</f>
        <v>2725282.45</v>
      </c>
      <c r="G34" s="124">
        <f>SUM(G27:G33)</f>
        <v>728895.8299999996</v>
      </c>
      <c r="H34" s="124">
        <f>SUM(H27:H33)</f>
        <v>0</v>
      </c>
      <c r="I34" s="124">
        <f>SUM(I27:I33)</f>
        <v>0</v>
      </c>
      <c r="J34" s="124">
        <f>SUM(J27:J33)</f>
        <v>3454178.28</v>
      </c>
      <c r="K34" s="172"/>
      <c r="L34" s="124">
        <f>SUM(L27:L33)</f>
        <v>0</v>
      </c>
      <c r="M34" s="157"/>
      <c r="N34" s="103"/>
      <c r="P34" s="367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70"/>
    </row>
    <row r="35" spans="2:29" ht="22.5" customHeight="1">
      <c r="B35" s="114"/>
      <c r="C35" s="144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03"/>
      <c r="P35" s="367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70"/>
    </row>
    <row r="36" spans="2:29" ht="22.5" customHeight="1">
      <c r="B36" s="114"/>
      <c r="C36" s="144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03"/>
      <c r="P36" s="381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3"/>
    </row>
    <row r="37" spans="2:29" ht="22.5" customHeight="1">
      <c r="B37" s="114"/>
      <c r="C37" s="63" t="s">
        <v>637</v>
      </c>
      <c r="D37" s="21"/>
      <c r="E37" s="93"/>
      <c r="F37" s="93"/>
      <c r="G37" s="93"/>
      <c r="H37" s="93"/>
      <c r="I37" s="93"/>
      <c r="J37" s="93"/>
      <c r="K37" s="93"/>
      <c r="L37" s="93"/>
      <c r="M37" s="93"/>
      <c r="N37" s="103"/>
      <c r="P37" s="381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3"/>
    </row>
    <row r="38" spans="2:29" ht="22.5" customHeight="1">
      <c r="B38" s="114"/>
      <c r="C38" s="21"/>
      <c r="D38" s="21"/>
      <c r="E38" s="93"/>
      <c r="F38" s="93"/>
      <c r="G38" s="93"/>
      <c r="H38" s="93"/>
      <c r="I38" s="93"/>
      <c r="J38" s="93"/>
      <c r="K38" s="93"/>
      <c r="L38" s="93"/>
      <c r="M38" s="93"/>
      <c r="N38" s="103"/>
      <c r="P38" s="381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3"/>
    </row>
    <row r="39" spans="2:29" ht="22.5" customHeight="1">
      <c r="B39" s="114"/>
      <c r="C39" s="187"/>
      <c r="D39" s="188"/>
      <c r="E39" s="189" t="s">
        <v>627</v>
      </c>
      <c r="F39" s="189" t="s">
        <v>604</v>
      </c>
      <c r="G39" s="1360" t="s">
        <v>612</v>
      </c>
      <c r="H39" s="1361"/>
      <c r="I39" s="1361"/>
      <c r="J39" s="189" t="s">
        <v>623</v>
      </c>
      <c r="K39" s="189" t="s">
        <v>632</v>
      </c>
      <c r="L39" s="189" t="s">
        <v>633</v>
      </c>
      <c r="M39" s="1358" t="s">
        <v>1107</v>
      </c>
      <c r="N39" s="103"/>
      <c r="P39" s="381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3"/>
    </row>
    <row r="40" spans="2:29" ht="48.75" customHeight="1">
      <c r="B40" s="114"/>
      <c r="C40" s="190" t="s">
        <v>626</v>
      </c>
      <c r="D40" s="191"/>
      <c r="E40" s="192" t="s">
        <v>628</v>
      </c>
      <c r="F40" s="192">
        <f>ejercicio</f>
        <v>2020</v>
      </c>
      <c r="G40" s="193" t="s">
        <v>629</v>
      </c>
      <c r="H40" s="194" t="s">
        <v>630</v>
      </c>
      <c r="I40" s="195" t="s">
        <v>631</v>
      </c>
      <c r="J40" s="192">
        <f>ejercicio</f>
        <v>2020</v>
      </c>
      <c r="K40" s="192" t="s">
        <v>1106</v>
      </c>
      <c r="L40" s="192">
        <f>ejercicio</f>
        <v>2020</v>
      </c>
      <c r="M40" s="1359"/>
      <c r="N40" s="103"/>
      <c r="P40" s="381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3"/>
    </row>
    <row r="41" spans="2:29" ht="30" customHeight="1" thickBot="1">
      <c r="B41" s="114"/>
      <c r="C41" s="1373" t="s">
        <v>638</v>
      </c>
      <c r="D41" s="1373"/>
      <c r="E41" s="1373"/>
      <c r="F41" s="1373"/>
      <c r="G41" s="1373"/>
      <c r="H41" s="1373"/>
      <c r="I41" s="1373"/>
      <c r="J41" s="1373"/>
      <c r="K41" s="1373"/>
      <c r="L41" s="1373"/>
      <c r="M41" s="1373"/>
      <c r="N41" s="103"/>
      <c r="P41" s="381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3"/>
    </row>
    <row r="42" spans="2:29" ht="22.5" customHeight="1">
      <c r="B42" s="114"/>
      <c r="C42" s="1370" t="s">
        <v>1056</v>
      </c>
      <c r="D42" s="1371"/>
      <c r="E42" s="767">
        <v>250</v>
      </c>
      <c r="F42" s="439">
        <v>20734.92</v>
      </c>
      <c r="G42" s="440"/>
      <c r="H42" s="440"/>
      <c r="I42" s="440"/>
      <c r="J42" s="176">
        <f aca="true" t="shared" si="2" ref="J42:J48">SUM(F42:I42)</f>
        <v>20734.92</v>
      </c>
      <c r="K42" s="445"/>
      <c r="L42" s="759"/>
      <c r="M42" s="763"/>
      <c r="N42" s="103"/>
      <c r="P42" s="381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3"/>
    </row>
    <row r="43" spans="2:29" ht="22.5" customHeight="1">
      <c r="B43" s="114"/>
      <c r="C43" s="1363" t="s">
        <v>1057</v>
      </c>
      <c r="D43" s="1364"/>
      <c r="E43" s="768">
        <v>250</v>
      </c>
      <c r="F43" s="432">
        <v>15866.4</v>
      </c>
      <c r="G43" s="433"/>
      <c r="H43" s="433"/>
      <c r="I43" s="433"/>
      <c r="J43" s="168">
        <f t="shared" si="2"/>
        <v>15866.4</v>
      </c>
      <c r="K43" s="447">
        <v>0.03</v>
      </c>
      <c r="L43" s="760"/>
      <c r="M43" s="764"/>
      <c r="N43" s="103"/>
      <c r="P43" s="381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3"/>
    </row>
    <row r="44" spans="2:29" ht="22.5" customHeight="1">
      <c r="B44" s="114"/>
      <c r="C44" s="1363" t="s">
        <v>1058</v>
      </c>
      <c r="D44" s="1364"/>
      <c r="E44" s="768">
        <v>250</v>
      </c>
      <c r="F44" s="432">
        <v>27318.76</v>
      </c>
      <c r="G44" s="433"/>
      <c r="H44" s="433"/>
      <c r="I44" s="433"/>
      <c r="J44" s="168">
        <f t="shared" si="2"/>
        <v>27318.76</v>
      </c>
      <c r="K44" s="447"/>
      <c r="L44" s="760"/>
      <c r="M44" s="764"/>
      <c r="N44" s="103"/>
      <c r="P44" s="381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3"/>
    </row>
    <row r="45" spans="2:29" ht="22.5" customHeight="1">
      <c r="B45" s="114"/>
      <c r="C45" s="1365"/>
      <c r="D45" s="1364"/>
      <c r="E45" s="768"/>
      <c r="F45" s="432"/>
      <c r="G45" s="433"/>
      <c r="H45" s="433"/>
      <c r="I45" s="433"/>
      <c r="J45" s="168">
        <f t="shared" si="2"/>
        <v>0</v>
      </c>
      <c r="K45" s="447"/>
      <c r="L45" s="760"/>
      <c r="M45" s="764"/>
      <c r="N45" s="103"/>
      <c r="P45" s="381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3"/>
    </row>
    <row r="46" spans="2:29" ht="22.5" customHeight="1">
      <c r="B46" s="114"/>
      <c r="C46" s="1365"/>
      <c r="D46" s="1364"/>
      <c r="E46" s="769"/>
      <c r="F46" s="441"/>
      <c r="G46" s="442"/>
      <c r="H46" s="442"/>
      <c r="I46" s="442"/>
      <c r="J46" s="168">
        <f t="shared" si="2"/>
        <v>0</v>
      </c>
      <c r="K46" s="449"/>
      <c r="L46" s="761"/>
      <c r="M46" s="765"/>
      <c r="N46" s="103"/>
      <c r="P46" s="381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3"/>
    </row>
    <row r="47" spans="2:29" ht="22.5" customHeight="1">
      <c r="B47" s="114"/>
      <c r="C47" s="1365"/>
      <c r="D47" s="1364"/>
      <c r="E47" s="769"/>
      <c r="F47" s="441"/>
      <c r="G47" s="442"/>
      <c r="H47" s="442"/>
      <c r="I47" s="442"/>
      <c r="J47" s="168">
        <f t="shared" si="2"/>
        <v>0</v>
      </c>
      <c r="K47" s="449"/>
      <c r="L47" s="761"/>
      <c r="M47" s="765"/>
      <c r="N47" s="103"/>
      <c r="P47" s="381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3"/>
    </row>
    <row r="48" spans="2:29" ht="22.5" customHeight="1">
      <c r="B48" s="114"/>
      <c r="C48" s="1366"/>
      <c r="D48" s="1367"/>
      <c r="E48" s="770"/>
      <c r="F48" s="436"/>
      <c r="G48" s="437"/>
      <c r="H48" s="437"/>
      <c r="I48" s="437"/>
      <c r="J48" s="169">
        <f t="shared" si="2"/>
        <v>0</v>
      </c>
      <c r="K48" s="451"/>
      <c r="L48" s="762"/>
      <c r="M48" s="766"/>
      <c r="N48" s="103"/>
      <c r="P48" s="381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3"/>
    </row>
    <row r="49" spans="2:29" ht="22.5" customHeight="1" thickBot="1">
      <c r="B49" s="114"/>
      <c r="C49" s="154" t="s">
        <v>610</v>
      </c>
      <c r="D49" s="156"/>
      <c r="E49" s="124"/>
      <c r="F49" s="124">
        <f>SUM(F42:F48)</f>
        <v>63920.08</v>
      </c>
      <c r="G49" s="124">
        <f>SUM(G42:G48)</f>
        <v>0</v>
      </c>
      <c r="H49" s="124">
        <f>SUM(H42:H48)</f>
        <v>0</v>
      </c>
      <c r="I49" s="124">
        <f>SUM(I42:I48)</f>
        <v>0</v>
      </c>
      <c r="J49" s="124">
        <f>SUM(J42:J48)</f>
        <v>63920.08</v>
      </c>
      <c r="K49" s="453"/>
      <c r="L49" s="124">
        <f>SUM(L42:L48)</f>
        <v>0</v>
      </c>
      <c r="M49" s="157"/>
      <c r="N49" s="103"/>
      <c r="P49" s="381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3"/>
    </row>
    <row r="50" spans="2:29" ht="28.5" customHeight="1" thickBot="1">
      <c r="B50" s="114"/>
      <c r="C50" s="1374" t="s">
        <v>639</v>
      </c>
      <c r="D50" s="1374"/>
      <c r="E50" s="1374"/>
      <c r="F50" s="1374"/>
      <c r="G50" s="1374"/>
      <c r="H50" s="1374"/>
      <c r="I50" s="1374"/>
      <c r="J50" s="1374"/>
      <c r="K50" s="1374"/>
      <c r="L50" s="1374"/>
      <c r="M50" s="1374"/>
      <c r="N50" s="103"/>
      <c r="P50" s="381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3"/>
    </row>
    <row r="51" spans="2:29" ht="22.5" customHeight="1">
      <c r="B51" s="114"/>
      <c r="C51" s="1363" t="s">
        <v>1059</v>
      </c>
      <c r="D51" s="1368"/>
      <c r="E51" s="1247">
        <v>252</v>
      </c>
      <c r="F51" s="439">
        <v>400</v>
      </c>
      <c r="G51" s="440"/>
      <c r="H51" s="440"/>
      <c r="I51" s="440"/>
      <c r="J51" s="176">
        <f aca="true" t="shared" si="3" ref="J51:J57">SUM(F51:I51)</f>
        <v>400</v>
      </c>
      <c r="K51" s="445"/>
      <c r="L51" s="446"/>
      <c r="M51" s="763"/>
      <c r="N51" s="103"/>
      <c r="P51" s="381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3"/>
    </row>
    <row r="52" spans="2:29" ht="22.5" customHeight="1">
      <c r="B52" s="114"/>
      <c r="C52" s="1363" t="s">
        <v>1060</v>
      </c>
      <c r="D52" s="1368"/>
      <c r="E52" s="1248">
        <v>260</v>
      </c>
      <c r="F52" s="432">
        <v>16491.68</v>
      </c>
      <c r="G52" s="433"/>
      <c r="H52" s="433"/>
      <c r="I52" s="433"/>
      <c r="J52" s="168">
        <f t="shared" si="3"/>
        <v>16491.68</v>
      </c>
      <c r="K52" s="447"/>
      <c r="L52" s="448"/>
      <c r="M52" s="764"/>
      <c r="N52" s="103"/>
      <c r="P52" s="381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3"/>
    </row>
    <row r="53" spans="2:29" ht="22.5" customHeight="1">
      <c r="B53" s="114"/>
      <c r="C53" s="1363" t="s">
        <v>1061</v>
      </c>
      <c r="D53" s="1364"/>
      <c r="E53" s="1248">
        <v>542.547</v>
      </c>
      <c r="F53" s="432">
        <v>18943957.01</v>
      </c>
      <c r="G53" s="433">
        <v>342872.99</v>
      </c>
      <c r="H53" s="433">
        <v>-2000000</v>
      </c>
      <c r="I53" s="433"/>
      <c r="J53" s="168">
        <f t="shared" si="3"/>
        <v>17286830</v>
      </c>
      <c r="K53" s="447"/>
      <c r="L53" s="448"/>
      <c r="M53" s="764"/>
      <c r="N53" s="103"/>
      <c r="P53" s="381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3"/>
    </row>
    <row r="54" spans="2:29" ht="22.5" customHeight="1">
      <c r="B54" s="114"/>
      <c r="C54" s="1363" t="s">
        <v>1062</v>
      </c>
      <c r="D54" s="1364"/>
      <c r="E54" s="1248">
        <v>541</v>
      </c>
      <c r="F54" s="432">
        <v>4400</v>
      </c>
      <c r="G54" s="433"/>
      <c r="H54" s="433"/>
      <c r="I54" s="433"/>
      <c r="J54" s="168">
        <f t="shared" si="3"/>
        <v>4400</v>
      </c>
      <c r="K54" s="447"/>
      <c r="L54" s="448"/>
      <c r="M54" s="764"/>
      <c r="N54" s="103"/>
      <c r="P54" s="381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3"/>
    </row>
    <row r="55" spans="2:29" ht="22.5" customHeight="1">
      <c r="B55" s="114"/>
      <c r="C55" s="1363" t="s">
        <v>1063</v>
      </c>
      <c r="D55" s="1364"/>
      <c r="E55" s="1248">
        <v>552.565</v>
      </c>
      <c r="F55" s="441">
        <v>22083.75</v>
      </c>
      <c r="G55" s="442"/>
      <c r="H55" s="442">
        <v>-22083.75</v>
      </c>
      <c r="I55" s="442"/>
      <c r="J55" s="168">
        <f t="shared" si="3"/>
        <v>0</v>
      </c>
      <c r="K55" s="449"/>
      <c r="L55" s="450"/>
      <c r="M55" s="765"/>
      <c r="N55" s="103"/>
      <c r="P55" s="381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3"/>
    </row>
    <row r="56" spans="2:29" ht="22.5" customHeight="1">
      <c r="B56" s="114"/>
      <c r="C56" s="1363"/>
      <c r="D56" s="1364"/>
      <c r="E56" s="769"/>
      <c r="F56" s="441"/>
      <c r="G56" s="442"/>
      <c r="H56" s="442"/>
      <c r="I56" s="442"/>
      <c r="J56" s="168">
        <f t="shared" si="3"/>
        <v>0</v>
      </c>
      <c r="K56" s="449"/>
      <c r="L56" s="450"/>
      <c r="M56" s="765"/>
      <c r="N56" s="103"/>
      <c r="P56" s="381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3"/>
    </row>
    <row r="57" spans="2:29" ht="22.5" customHeight="1">
      <c r="B57" s="114"/>
      <c r="C57" s="1366"/>
      <c r="D57" s="1367"/>
      <c r="E57" s="770"/>
      <c r="F57" s="436"/>
      <c r="G57" s="437"/>
      <c r="H57" s="437"/>
      <c r="I57" s="437"/>
      <c r="J57" s="169">
        <f t="shared" si="3"/>
        <v>0</v>
      </c>
      <c r="K57" s="451"/>
      <c r="L57" s="452"/>
      <c r="M57" s="766"/>
      <c r="N57" s="103"/>
      <c r="P57" s="381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3"/>
    </row>
    <row r="58" spans="2:29" ht="22.5" customHeight="1" thickBot="1">
      <c r="B58" s="114"/>
      <c r="C58" s="154" t="s">
        <v>610</v>
      </c>
      <c r="D58" s="156"/>
      <c r="E58" s="124"/>
      <c r="F58" s="124">
        <f>SUM(F51:F57)</f>
        <v>18987332.44</v>
      </c>
      <c r="G58" s="124">
        <f>SUM(G51:G57)</f>
        <v>342872.99</v>
      </c>
      <c r="H58" s="124">
        <f>SUM(H51:H57)</f>
        <v>-2022083.75</v>
      </c>
      <c r="I58" s="124">
        <f>SUM(I51:I57)</f>
        <v>0</v>
      </c>
      <c r="J58" s="124">
        <f>SUM(J51:J57)</f>
        <v>17308121.68</v>
      </c>
      <c r="K58" s="172"/>
      <c r="L58" s="124">
        <f>SUM(L51:L57)</f>
        <v>0</v>
      </c>
      <c r="M58" s="157"/>
      <c r="N58" s="103"/>
      <c r="P58" s="381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3"/>
    </row>
    <row r="59" spans="2:29" ht="22.5" customHeight="1">
      <c r="B59" s="114"/>
      <c r="C59" s="144"/>
      <c r="D59" s="144"/>
      <c r="E59" s="145"/>
      <c r="F59" s="145"/>
      <c r="G59" s="145"/>
      <c r="H59" s="145"/>
      <c r="I59" s="145"/>
      <c r="J59" s="145"/>
      <c r="K59" s="145"/>
      <c r="L59" s="145"/>
      <c r="M59" s="145"/>
      <c r="N59" s="103"/>
      <c r="P59" s="381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3"/>
    </row>
    <row r="60" spans="2:29" ht="22.5" customHeight="1">
      <c r="B60" s="114"/>
      <c r="C60" s="164" t="s">
        <v>621</v>
      </c>
      <c r="D60" s="162"/>
      <c r="E60" s="163"/>
      <c r="F60" s="163"/>
      <c r="G60" s="163"/>
      <c r="H60" s="163"/>
      <c r="I60" s="163"/>
      <c r="J60" s="163"/>
      <c r="K60" s="163"/>
      <c r="L60" s="163"/>
      <c r="M60" s="93"/>
      <c r="N60" s="103"/>
      <c r="P60" s="381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3"/>
    </row>
    <row r="61" spans="2:29" ht="18">
      <c r="B61" s="114"/>
      <c r="C61" s="162" t="s">
        <v>640</v>
      </c>
      <c r="D61" s="162"/>
      <c r="E61" s="163"/>
      <c r="F61" s="163"/>
      <c r="G61" s="163"/>
      <c r="H61" s="163"/>
      <c r="I61" s="163"/>
      <c r="J61" s="163"/>
      <c r="K61" s="163"/>
      <c r="L61" s="163"/>
      <c r="M61" s="93"/>
      <c r="N61" s="103"/>
      <c r="P61" s="381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3"/>
    </row>
    <row r="62" spans="2:29" ht="18">
      <c r="B62" s="114"/>
      <c r="C62" s="162" t="s">
        <v>654</v>
      </c>
      <c r="D62" s="162"/>
      <c r="E62" s="163"/>
      <c r="F62" s="163"/>
      <c r="G62" s="163"/>
      <c r="H62" s="163"/>
      <c r="I62" s="163"/>
      <c r="J62" s="163"/>
      <c r="K62" s="163"/>
      <c r="L62" s="163"/>
      <c r="M62" s="93"/>
      <c r="N62" s="103"/>
      <c r="P62" s="381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3"/>
    </row>
    <row r="63" spans="2:29" ht="18">
      <c r="B63" s="114"/>
      <c r="C63" s="162" t="s">
        <v>655</v>
      </c>
      <c r="D63" s="162"/>
      <c r="E63" s="163"/>
      <c r="F63" s="163"/>
      <c r="G63" s="163"/>
      <c r="H63" s="163"/>
      <c r="I63" s="163"/>
      <c r="J63" s="163"/>
      <c r="K63" s="163"/>
      <c r="L63" s="163"/>
      <c r="M63" s="93"/>
      <c r="N63" s="103"/>
      <c r="P63" s="381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3"/>
    </row>
    <row r="64" spans="2:29" ht="18">
      <c r="B64" s="114"/>
      <c r="C64" s="162" t="s">
        <v>656</v>
      </c>
      <c r="D64" s="162"/>
      <c r="E64" s="163"/>
      <c r="F64" s="163"/>
      <c r="G64" s="163"/>
      <c r="H64" s="163"/>
      <c r="I64" s="163"/>
      <c r="J64" s="163"/>
      <c r="K64" s="163"/>
      <c r="L64" s="163"/>
      <c r="M64" s="93"/>
      <c r="N64" s="103"/>
      <c r="P64" s="381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3"/>
    </row>
    <row r="65" spans="2:29" ht="18">
      <c r="B65" s="114"/>
      <c r="C65" s="162" t="s">
        <v>657</v>
      </c>
      <c r="D65" s="162"/>
      <c r="E65" s="163"/>
      <c r="F65" s="163"/>
      <c r="G65" s="163"/>
      <c r="H65" s="163"/>
      <c r="I65" s="163"/>
      <c r="J65" s="163"/>
      <c r="K65" s="163"/>
      <c r="L65" s="163"/>
      <c r="M65" s="93"/>
      <c r="N65" s="103"/>
      <c r="P65" s="381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3"/>
    </row>
    <row r="66" spans="2:29" ht="18">
      <c r="B66" s="114"/>
      <c r="C66" s="162" t="s">
        <v>1105</v>
      </c>
      <c r="D66" s="162"/>
      <c r="E66" s="163"/>
      <c r="F66" s="163"/>
      <c r="G66" s="163"/>
      <c r="H66" s="163"/>
      <c r="I66" s="163"/>
      <c r="J66" s="163"/>
      <c r="K66" s="163"/>
      <c r="L66" s="163"/>
      <c r="M66" s="93"/>
      <c r="N66" s="103"/>
      <c r="P66" s="381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3"/>
    </row>
    <row r="67" spans="2:29" ht="18">
      <c r="B67" s="114"/>
      <c r="C67" s="162" t="s">
        <v>927</v>
      </c>
      <c r="D67" s="162"/>
      <c r="E67" s="163"/>
      <c r="F67" s="163"/>
      <c r="G67" s="163"/>
      <c r="H67" s="163"/>
      <c r="I67" s="163"/>
      <c r="J67" s="163"/>
      <c r="K67" s="163"/>
      <c r="L67" s="163"/>
      <c r="M67" s="93"/>
      <c r="N67" s="103"/>
      <c r="P67" s="381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3"/>
    </row>
    <row r="68" spans="2:29" ht="18">
      <c r="B68" s="114"/>
      <c r="C68" s="162" t="s">
        <v>658</v>
      </c>
      <c r="D68" s="162"/>
      <c r="E68" s="163"/>
      <c r="F68" s="163"/>
      <c r="G68" s="163"/>
      <c r="H68" s="163"/>
      <c r="I68" s="163"/>
      <c r="J68" s="163"/>
      <c r="K68" s="163"/>
      <c r="L68" s="163"/>
      <c r="M68" s="93"/>
      <c r="N68" s="103"/>
      <c r="P68" s="381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3"/>
    </row>
    <row r="69" spans="2:29" ht="18">
      <c r="B69" s="114"/>
      <c r="C69" s="162" t="s">
        <v>659</v>
      </c>
      <c r="D69" s="162"/>
      <c r="E69" s="163"/>
      <c r="F69" s="163"/>
      <c r="G69" s="163"/>
      <c r="H69" s="163"/>
      <c r="I69" s="163"/>
      <c r="J69" s="163"/>
      <c r="K69" s="163"/>
      <c r="L69" s="163"/>
      <c r="M69" s="93"/>
      <c r="N69" s="103"/>
      <c r="P69" s="381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3"/>
    </row>
    <row r="70" spans="2:29" ht="18">
      <c r="B70" s="114"/>
      <c r="C70" s="162" t="s">
        <v>660</v>
      </c>
      <c r="D70" s="162"/>
      <c r="E70" s="163"/>
      <c r="F70" s="163"/>
      <c r="G70" s="163"/>
      <c r="H70" s="163"/>
      <c r="I70" s="163"/>
      <c r="J70" s="163"/>
      <c r="K70" s="163"/>
      <c r="L70" s="163"/>
      <c r="M70" s="93"/>
      <c r="N70" s="103"/>
      <c r="P70" s="381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3"/>
    </row>
    <row r="71" spans="2:29" ht="22.5" customHeight="1" thickBot="1">
      <c r="B71" s="118"/>
      <c r="C71" s="1299"/>
      <c r="D71" s="1299"/>
      <c r="E71" s="1299"/>
      <c r="F71" s="1299"/>
      <c r="G71" s="52"/>
      <c r="H71" s="52"/>
      <c r="I71" s="52"/>
      <c r="J71" s="52"/>
      <c r="K71" s="52"/>
      <c r="L71" s="52"/>
      <c r="M71" s="119"/>
      <c r="N71" s="120"/>
      <c r="P71" s="384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6"/>
    </row>
    <row r="72" spans="3:15" ht="22.5" customHeight="1">
      <c r="C72" s="101"/>
      <c r="D72" s="101"/>
      <c r="E72" s="102"/>
      <c r="F72" s="102"/>
      <c r="G72" s="102"/>
      <c r="H72" s="102"/>
      <c r="I72" s="102"/>
      <c r="J72" s="102"/>
      <c r="K72" s="102"/>
      <c r="L72" s="102"/>
      <c r="M72" s="102"/>
      <c r="O72" s="94" t="s">
        <v>83</v>
      </c>
    </row>
    <row r="73" spans="3:13" ht="12.75">
      <c r="C73" s="121" t="s">
        <v>286</v>
      </c>
      <c r="D73" s="101"/>
      <c r="E73" s="102"/>
      <c r="F73" s="102"/>
      <c r="G73" s="102"/>
      <c r="H73" s="102"/>
      <c r="I73" s="102"/>
      <c r="J73" s="102"/>
      <c r="K73" s="102"/>
      <c r="L73" s="102"/>
      <c r="M73" s="92" t="s">
        <v>267</v>
      </c>
    </row>
    <row r="74" spans="3:13" ht="12.75">
      <c r="C74" s="122" t="s">
        <v>287</v>
      </c>
      <c r="D74" s="101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3:13" ht="12.75">
      <c r="C75" s="122" t="s">
        <v>288</v>
      </c>
      <c r="D75" s="101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3:13" ht="12.75">
      <c r="C76" s="122" t="s">
        <v>289</v>
      </c>
      <c r="D76" s="101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3:13" ht="12.75">
      <c r="C77" s="122" t="s">
        <v>290</v>
      </c>
      <c r="D77" s="101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3:13" ht="22.5" customHeight="1">
      <c r="C78" s="101"/>
      <c r="D78" s="101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3:13" ht="22.5" customHeight="1">
      <c r="C79" s="101"/>
      <c r="D79" s="101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3:13" ht="22.5" customHeight="1">
      <c r="C80" s="101"/>
      <c r="D80" s="101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3:13" ht="22.5" customHeight="1">
      <c r="C81" s="101"/>
      <c r="D81" s="101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6:13" ht="22.5" customHeight="1">
      <c r="F82" s="102"/>
      <c r="G82" s="102"/>
      <c r="H82" s="102"/>
      <c r="I82" s="102"/>
      <c r="J82" s="102"/>
      <c r="K82" s="102"/>
      <c r="L82" s="102"/>
      <c r="M82" s="102"/>
    </row>
  </sheetData>
  <sheetProtection sheet="1" insertRows="0"/>
  <mergeCells count="39">
    <mergeCell ref="C23:D23"/>
    <mergeCell ref="C71:F71"/>
    <mergeCell ref="G15:I15"/>
    <mergeCell ref="C17:M17"/>
    <mergeCell ref="C26:M26"/>
    <mergeCell ref="G39:I39"/>
    <mergeCell ref="M39:M40"/>
    <mergeCell ref="C41:M41"/>
    <mergeCell ref="C50:M50"/>
    <mergeCell ref="C20:D20"/>
    <mergeCell ref="C21:D21"/>
    <mergeCell ref="C18:D18"/>
    <mergeCell ref="C19:D19"/>
    <mergeCell ref="C46:D46"/>
    <mergeCell ref="C56:D56"/>
    <mergeCell ref="C57:D57"/>
    <mergeCell ref="M6:M7"/>
    <mergeCell ref="D9:M9"/>
    <mergeCell ref="C12:D12"/>
    <mergeCell ref="M15:M16"/>
    <mergeCell ref="C45:D45"/>
    <mergeCell ref="C29:D29"/>
    <mergeCell ref="C30:D30"/>
    <mergeCell ref="C31:D31"/>
    <mergeCell ref="C32:D32"/>
    <mergeCell ref="C33:D33"/>
    <mergeCell ref="C42:D42"/>
    <mergeCell ref="C43:D43"/>
    <mergeCell ref="C44:D44"/>
    <mergeCell ref="C27:D27"/>
    <mergeCell ref="C28:D28"/>
    <mergeCell ref="C22:D22"/>
    <mergeCell ref="C54:D54"/>
    <mergeCell ref="C55:D55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5"/>
  <sheetViews>
    <sheetView zoomScale="80" zoomScaleNormal="80" zoomScaleSheetLayoutView="50" zoomScalePageLayoutView="125" workbookViewId="0" topLeftCell="A65">
      <selection activeCell="L119" sqref="L119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15.6640625" style="94" customWidth="1"/>
    <col min="5" max="5" width="27.6640625" style="95" customWidth="1"/>
    <col min="6" max="6" width="16.3359375" style="95" customWidth="1"/>
    <col min="7" max="13" width="15.3359375" style="95" customWidth="1"/>
    <col min="14" max="16" width="9.6640625" style="95" customWidth="1"/>
    <col min="17" max="17" width="3.3359375" style="94" customWidth="1"/>
    <col min="18" max="18" width="3.4453125" style="94" customWidth="1"/>
    <col min="19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33" ht="9" customHeight="1">
      <c r="B5" s="96"/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S5" s="364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6"/>
    </row>
    <row r="6" spans="2:33" ht="30" customHeight="1">
      <c r="B6" s="100"/>
      <c r="C6" s="64" t="s">
        <v>216</v>
      </c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285">
        <f>ejercicio</f>
        <v>2020</v>
      </c>
      <c r="Q6" s="103"/>
      <c r="S6" s="367"/>
      <c r="T6" s="369"/>
      <c r="U6" s="368" t="s">
        <v>906</v>
      </c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70"/>
    </row>
    <row r="7" spans="2:33" ht="30" customHeight="1">
      <c r="B7" s="100"/>
      <c r="C7" s="64" t="s">
        <v>217</v>
      </c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285"/>
      <c r="Q7" s="103"/>
      <c r="S7" s="367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70"/>
    </row>
    <row r="8" spans="2:33" ht="30" customHeight="1">
      <c r="B8" s="100"/>
      <c r="C8" s="104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5"/>
      <c r="Q8" s="103"/>
      <c r="S8" s="367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70"/>
    </row>
    <row r="9" spans="2:33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300"/>
      <c r="Q9" s="180"/>
      <c r="S9" s="367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70"/>
    </row>
    <row r="10" spans="2:33" ht="6.75" customHeight="1">
      <c r="B10" s="100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S10" s="367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70"/>
    </row>
    <row r="11" spans="2:33" s="112" customFormat="1" ht="30" customHeight="1">
      <c r="B11" s="108"/>
      <c r="C11" s="109" t="s">
        <v>1127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S11" s="367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70"/>
    </row>
    <row r="12" spans="2:33" s="112" customFormat="1" ht="30" customHeight="1">
      <c r="B12" s="108"/>
      <c r="C12" s="1369"/>
      <c r="D12" s="136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11"/>
      <c r="S12" s="367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70"/>
    </row>
    <row r="13" spans="2:33" s="112" customFormat="1" ht="30" customHeight="1">
      <c r="B13" s="108"/>
      <c r="C13" s="63" t="s">
        <v>661</v>
      </c>
      <c r="D13" s="21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111"/>
      <c r="S13" s="367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70"/>
    </row>
    <row r="14" spans="2:33" s="112" customFormat="1" ht="30" customHeight="1">
      <c r="B14" s="108"/>
      <c r="C14" s="21" t="s">
        <v>662</v>
      </c>
      <c r="D14" s="21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111"/>
      <c r="S14" s="367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70"/>
    </row>
    <row r="15" spans="2:33" s="112" customFormat="1" ht="30" customHeight="1">
      <c r="B15" s="108"/>
      <c r="C15" s="1394"/>
      <c r="D15" s="1395"/>
      <c r="E15" s="318"/>
      <c r="F15" s="1379" t="s">
        <v>1169</v>
      </c>
      <c r="G15" s="1380"/>
      <c r="H15" s="1380"/>
      <c r="I15" s="1380"/>
      <c r="J15" s="1380"/>
      <c r="K15" s="1381"/>
      <c r="L15" s="1396" t="s">
        <v>1167</v>
      </c>
      <c r="M15" s="1385"/>
      <c r="N15" s="828"/>
      <c r="O15" s="828"/>
      <c r="P15" s="828"/>
      <c r="Q15" s="111"/>
      <c r="S15" s="367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70"/>
    </row>
    <row r="16" spans="2:33" s="826" customFormat="1" ht="36" customHeight="1">
      <c r="B16" s="827"/>
      <c r="C16" s="1390" t="s">
        <v>1125</v>
      </c>
      <c r="D16" s="1391"/>
      <c r="E16" s="875"/>
      <c r="F16" s="876" t="s">
        <v>1166</v>
      </c>
      <c r="G16" s="1386">
        <f>ejercicio-1</f>
        <v>2019</v>
      </c>
      <c r="H16" s="1387"/>
      <c r="I16" s="877" t="s">
        <v>1166</v>
      </c>
      <c r="J16" s="1386">
        <f>ejercicio</f>
        <v>2020</v>
      </c>
      <c r="K16" s="1387"/>
      <c r="L16" s="1377" t="s">
        <v>1168</v>
      </c>
      <c r="M16" s="1378"/>
      <c r="N16" s="836"/>
      <c r="O16" s="836"/>
      <c r="P16" s="836"/>
      <c r="Q16" s="830"/>
      <c r="S16" s="831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3"/>
    </row>
    <row r="17" spans="2:33" s="834" customFormat="1" ht="22.5" customHeight="1">
      <c r="B17" s="835"/>
      <c r="C17" s="1392" t="s">
        <v>1126</v>
      </c>
      <c r="D17" s="1393"/>
      <c r="E17" s="316" t="s">
        <v>663</v>
      </c>
      <c r="F17" s="853">
        <f>ejercicio-1</f>
        <v>2019</v>
      </c>
      <c r="G17" s="829" t="s">
        <v>1170</v>
      </c>
      <c r="H17" s="859" t="s">
        <v>1165</v>
      </c>
      <c r="I17" s="317">
        <f>ejercicio</f>
        <v>2020</v>
      </c>
      <c r="J17" s="829" t="s">
        <v>1170</v>
      </c>
      <c r="K17" s="859" t="s">
        <v>1165</v>
      </c>
      <c r="L17" s="315">
        <f>ejercicio-1</f>
        <v>2019</v>
      </c>
      <c r="M17" s="829">
        <f>ejercicio</f>
        <v>2020</v>
      </c>
      <c r="N17" s="829" t="s">
        <v>665</v>
      </c>
      <c r="O17" s="829" t="s">
        <v>667</v>
      </c>
      <c r="P17" s="829" t="s">
        <v>666</v>
      </c>
      <c r="Q17" s="837"/>
      <c r="S17" s="831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3"/>
    </row>
    <row r="18" spans="2:33" s="181" customFormat="1" ht="7.5" customHeight="1">
      <c r="B18" s="179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896"/>
      <c r="N18" s="896"/>
      <c r="O18" s="896"/>
      <c r="P18" s="896"/>
      <c r="Q18" s="180"/>
      <c r="S18" s="367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70"/>
    </row>
    <row r="19" spans="1:33" s="117" customFormat="1" ht="22.5" customHeight="1">
      <c r="A19" s="181"/>
      <c r="B19" s="179"/>
      <c r="C19" s="1375" t="s">
        <v>604</v>
      </c>
      <c r="D19" s="1376"/>
      <c r="E19" s="1376"/>
      <c r="F19" s="872">
        <f>G19+H19</f>
        <v>13886457.486125367</v>
      </c>
      <c r="G19" s="454">
        <v>10271864.2</v>
      </c>
      <c r="H19" s="860">
        <v>3614593.286125368</v>
      </c>
      <c r="I19" s="872">
        <f>+J19+K19</f>
        <v>13626373.076125368</v>
      </c>
      <c r="J19" s="454">
        <v>10093022.89</v>
      </c>
      <c r="K19" s="860">
        <v>3533350.186125368</v>
      </c>
      <c r="L19" s="897"/>
      <c r="M19" s="897"/>
      <c r="N19" s="897"/>
      <c r="O19" s="897"/>
      <c r="P19" s="897"/>
      <c r="Q19" s="115"/>
      <c r="S19" s="367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70"/>
    </row>
    <row r="20" spans="1:33" s="117" customFormat="1" ht="9" customHeight="1">
      <c r="A20" s="181"/>
      <c r="B20" s="179"/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9"/>
      <c r="O20" s="899"/>
      <c r="P20" s="899"/>
      <c r="Q20" s="115"/>
      <c r="S20" s="367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70"/>
    </row>
    <row r="21" spans="1:33" s="117" customFormat="1" ht="22.5" customHeight="1">
      <c r="A21" s="181"/>
      <c r="B21" s="179"/>
      <c r="C21" s="910" t="s">
        <v>204</v>
      </c>
      <c r="D21" s="503"/>
      <c r="E21" s="1154" t="s">
        <v>286</v>
      </c>
      <c r="F21" s="854">
        <v>235000</v>
      </c>
      <c r="G21" s="428">
        <v>176250</v>
      </c>
      <c r="H21" s="861">
        <v>58750</v>
      </c>
      <c r="I21" s="1277"/>
      <c r="J21" s="821"/>
      <c r="K21" s="867"/>
      <c r="L21" s="821">
        <v>235000</v>
      </c>
      <c r="M21" s="1277"/>
      <c r="N21" s="1253">
        <v>1112</v>
      </c>
      <c r="O21" s="1253">
        <v>4632</v>
      </c>
      <c r="P21" s="1254">
        <v>74142</v>
      </c>
      <c r="Q21" s="115"/>
      <c r="S21" s="367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70"/>
    </row>
    <row r="22" spans="2:33" s="117" customFormat="1" ht="22.5" customHeight="1">
      <c r="B22" s="114"/>
      <c r="C22" s="1153" t="s">
        <v>205</v>
      </c>
      <c r="D22" s="505"/>
      <c r="E22" s="1154" t="s">
        <v>286</v>
      </c>
      <c r="F22" s="855">
        <v>50000</v>
      </c>
      <c r="G22" s="439">
        <v>37500</v>
      </c>
      <c r="H22" s="862">
        <v>12500</v>
      </c>
      <c r="I22" s="822"/>
      <c r="J22" s="822"/>
      <c r="K22" s="868"/>
      <c r="L22" s="822">
        <v>50000</v>
      </c>
      <c r="M22" s="822"/>
      <c r="N22" s="1255"/>
      <c r="O22" s="1255"/>
      <c r="P22" s="1256"/>
      <c r="Q22" s="115"/>
      <c r="S22" s="367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70"/>
    </row>
    <row r="23" spans="2:33" s="117" customFormat="1" ht="22.5" customHeight="1">
      <c r="B23" s="114"/>
      <c r="C23" s="1153" t="s">
        <v>1023</v>
      </c>
      <c r="D23" s="505"/>
      <c r="E23" s="1154" t="s">
        <v>1024</v>
      </c>
      <c r="F23" s="855"/>
      <c r="G23" s="439"/>
      <c r="H23" s="862"/>
      <c r="I23" s="822">
        <v>674413.14</v>
      </c>
      <c r="J23" s="822">
        <v>505809.86</v>
      </c>
      <c r="K23" s="868">
        <v>168603.28</v>
      </c>
      <c r="L23" s="822"/>
      <c r="M23" s="822">
        <v>674413.14</v>
      </c>
      <c r="N23" s="1255"/>
      <c r="O23" s="1255"/>
      <c r="P23" s="1256"/>
      <c r="Q23" s="115"/>
      <c r="S23" s="367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70"/>
    </row>
    <row r="24" spans="2:33" s="117" customFormat="1" ht="22.5" customHeight="1">
      <c r="B24" s="114"/>
      <c r="C24" s="1153" t="s">
        <v>1221</v>
      </c>
      <c r="D24" s="505"/>
      <c r="E24" s="1154" t="s">
        <v>286</v>
      </c>
      <c r="F24" s="855"/>
      <c r="G24" s="439"/>
      <c r="H24" s="862"/>
      <c r="I24" s="822"/>
      <c r="J24" s="822"/>
      <c r="K24" s="868"/>
      <c r="L24" s="822">
        <v>18295</v>
      </c>
      <c r="M24" s="822"/>
      <c r="N24" s="1255"/>
      <c r="O24" s="1255"/>
      <c r="P24" s="1256"/>
      <c r="Q24" s="115"/>
      <c r="S24" s="367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70"/>
    </row>
    <row r="25" spans="2:33" s="117" customFormat="1" ht="22.5" customHeight="1">
      <c r="B25" s="114"/>
      <c r="C25" s="1153" t="s">
        <v>1222</v>
      </c>
      <c r="D25" s="505"/>
      <c r="E25" s="1154" t="s">
        <v>286</v>
      </c>
      <c r="F25" s="855"/>
      <c r="G25" s="439"/>
      <c r="H25" s="862"/>
      <c r="I25" s="822"/>
      <c r="J25" s="822"/>
      <c r="K25" s="868"/>
      <c r="L25" s="822">
        <v>48000</v>
      </c>
      <c r="M25" s="822"/>
      <c r="N25" s="1255"/>
      <c r="O25" s="1255"/>
      <c r="P25" s="1256"/>
      <c r="Q25" s="115"/>
      <c r="S25" s="367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70"/>
    </row>
    <row r="26" spans="2:33" s="117" customFormat="1" ht="22.5" customHeight="1">
      <c r="B26" s="114"/>
      <c r="C26" s="1153" t="s">
        <v>1223</v>
      </c>
      <c r="D26" s="505"/>
      <c r="E26" s="1154" t="s">
        <v>286</v>
      </c>
      <c r="F26" s="855"/>
      <c r="G26" s="439"/>
      <c r="H26" s="862"/>
      <c r="I26" s="822"/>
      <c r="J26" s="822"/>
      <c r="K26" s="868"/>
      <c r="L26" s="822">
        <v>98529</v>
      </c>
      <c r="M26" s="822"/>
      <c r="N26" s="1255"/>
      <c r="O26" s="1255"/>
      <c r="P26" s="1256"/>
      <c r="Q26" s="115"/>
      <c r="S26" s="367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70"/>
    </row>
    <row r="27" spans="2:33" s="117" customFormat="1" ht="22.5" customHeight="1">
      <c r="B27" s="114"/>
      <c r="C27" s="504" t="s">
        <v>208</v>
      </c>
      <c r="D27" s="505"/>
      <c r="E27" s="847" t="s">
        <v>206</v>
      </c>
      <c r="F27" s="855"/>
      <c r="G27" s="439"/>
      <c r="H27" s="862"/>
      <c r="I27" s="822">
        <v>49650</v>
      </c>
      <c r="J27" s="822">
        <v>37237.5</v>
      </c>
      <c r="K27" s="868">
        <v>12412.5</v>
      </c>
      <c r="L27" s="822"/>
      <c r="M27" s="822">
        <v>49650</v>
      </c>
      <c r="N27" s="1255"/>
      <c r="O27" s="1255"/>
      <c r="P27" s="1256"/>
      <c r="Q27" s="115"/>
      <c r="S27" s="367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70"/>
    </row>
    <row r="28" spans="2:33" ht="22.5" customHeight="1">
      <c r="B28" s="114"/>
      <c r="C28" s="504" t="s">
        <v>209</v>
      </c>
      <c r="D28" s="505"/>
      <c r="E28" s="848" t="s">
        <v>210</v>
      </c>
      <c r="F28" s="856"/>
      <c r="G28" s="432"/>
      <c r="H28" s="863"/>
      <c r="I28" s="823"/>
      <c r="J28" s="823"/>
      <c r="K28" s="869"/>
      <c r="L28" s="823"/>
      <c r="M28" s="823"/>
      <c r="N28" s="1257"/>
      <c r="O28" s="1257"/>
      <c r="P28" s="1258"/>
      <c r="Q28" s="103"/>
      <c r="S28" s="367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70"/>
    </row>
    <row r="29" spans="2:33" ht="22.5" customHeight="1">
      <c r="B29" s="114"/>
      <c r="C29" s="504" t="s">
        <v>211</v>
      </c>
      <c r="D29" s="505"/>
      <c r="E29" s="848" t="s">
        <v>206</v>
      </c>
      <c r="F29" s="856">
        <v>10500</v>
      </c>
      <c r="G29" s="432">
        <v>7875</v>
      </c>
      <c r="H29" s="863">
        <v>2625</v>
      </c>
      <c r="I29" s="823">
        <v>10500</v>
      </c>
      <c r="J29" s="823">
        <v>7875</v>
      </c>
      <c r="K29" s="869">
        <v>2625</v>
      </c>
      <c r="L29" s="823">
        <v>10500</v>
      </c>
      <c r="M29" s="823">
        <v>10500</v>
      </c>
      <c r="N29" s="1257"/>
      <c r="O29" s="1257"/>
      <c r="P29" s="1258"/>
      <c r="Q29" s="103"/>
      <c r="S29" s="367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70"/>
    </row>
    <row r="30" spans="2:33" ht="22.5" customHeight="1">
      <c r="B30" s="114"/>
      <c r="C30" s="504" t="s">
        <v>212</v>
      </c>
      <c r="D30" s="505"/>
      <c r="E30" s="848" t="s">
        <v>206</v>
      </c>
      <c r="F30" s="856"/>
      <c r="G30" s="432"/>
      <c r="H30" s="863"/>
      <c r="I30" s="823">
        <v>192542</v>
      </c>
      <c r="J30" s="823">
        <v>144406.5</v>
      </c>
      <c r="K30" s="869">
        <v>48135.5</v>
      </c>
      <c r="L30" s="823"/>
      <c r="M30" s="823">
        <v>192542</v>
      </c>
      <c r="N30" s="1257"/>
      <c r="O30" s="1257"/>
      <c r="P30" s="1258"/>
      <c r="Q30" s="103"/>
      <c r="S30" s="367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70"/>
    </row>
    <row r="31" spans="2:33" ht="22.5" customHeight="1">
      <c r="B31" s="114"/>
      <c r="C31" s="504" t="s">
        <v>207</v>
      </c>
      <c r="D31" s="505"/>
      <c r="E31" s="849" t="s">
        <v>206</v>
      </c>
      <c r="F31" s="857">
        <v>8069.75</v>
      </c>
      <c r="G31" s="441">
        <v>6052.31</v>
      </c>
      <c r="H31" s="864">
        <v>2017.44</v>
      </c>
      <c r="I31" s="824"/>
      <c r="J31" s="824"/>
      <c r="K31" s="870"/>
      <c r="L31" s="824">
        <v>8069.75</v>
      </c>
      <c r="M31" s="824"/>
      <c r="N31" s="1259"/>
      <c r="O31" s="1259"/>
      <c r="P31" s="1260"/>
      <c r="Q31" s="103"/>
      <c r="S31" s="367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70"/>
    </row>
    <row r="32" spans="2:33" ht="22.5" customHeight="1">
      <c r="B32" s="114"/>
      <c r="C32" s="504" t="s">
        <v>213</v>
      </c>
      <c r="D32" s="505"/>
      <c r="E32" s="849" t="s">
        <v>206</v>
      </c>
      <c r="F32" s="857"/>
      <c r="G32" s="441"/>
      <c r="H32" s="864"/>
      <c r="I32" s="824">
        <v>11696</v>
      </c>
      <c r="J32" s="824">
        <v>8772</v>
      </c>
      <c r="K32" s="870">
        <v>2924</v>
      </c>
      <c r="L32" s="824"/>
      <c r="M32" s="824">
        <v>11696</v>
      </c>
      <c r="N32" s="1259"/>
      <c r="O32" s="1259"/>
      <c r="P32" s="1260"/>
      <c r="Q32" s="103"/>
      <c r="S32" s="367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70"/>
    </row>
    <row r="33" spans="2:33" ht="22.5" customHeight="1">
      <c r="B33" s="114"/>
      <c r="C33" s="1243" t="s">
        <v>214</v>
      </c>
      <c r="D33" s="1244"/>
      <c r="E33" s="849" t="s">
        <v>206</v>
      </c>
      <c r="F33" s="857"/>
      <c r="G33" s="441"/>
      <c r="H33" s="864"/>
      <c r="I33" s="824">
        <v>45050</v>
      </c>
      <c r="J33" s="824">
        <v>33787.5</v>
      </c>
      <c r="K33" s="870">
        <v>11262.5</v>
      </c>
      <c r="L33" s="824"/>
      <c r="M33" s="824">
        <v>45050</v>
      </c>
      <c r="N33" s="1259"/>
      <c r="O33" s="1259"/>
      <c r="P33" s="1260"/>
      <c r="Q33" s="103"/>
      <c r="S33" s="367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70"/>
    </row>
    <row r="34" spans="2:33" ht="22.5" customHeight="1">
      <c r="B34" s="114"/>
      <c r="C34" s="1243" t="s">
        <v>215</v>
      </c>
      <c r="D34" s="1244"/>
      <c r="E34" s="849" t="s">
        <v>206</v>
      </c>
      <c r="F34" s="857"/>
      <c r="G34" s="441"/>
      <c r="H34" s="864"/>
      <c r="I34" s="824">
        <v>42500</v>
      </c>
      <c r="J34" s="824">
        <v>31875</v>
      </c>
      <c r="K34" s="870">
        <v>10625</v>
      </c>
      <c r="L34" s="824"/>
      <c r="M34" s="824">
        <v>42500</v>
      </c>
      <c r="N34" s="1259"/>
      <c r="O34" s="1259"/>
      <c r="P34" s="1260"/>
      <c r="Q34" s="103"/>
      <c r="S34" s="367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70"/>
    </row>
    <row r="35" spans="2:33" ht="22.5" customHeight="1">
      <c r="B35" s="114"/>
      <c r="C35" s="1245" t="s">
        <v>1022</v>
      </c>
      <c r="D35" s="1244"/>
      <c r="E35" s="849" t="s">
        <v>206</v>
      </c>
      <c r="F35" s="857">
        <v>6800</v>
      </c>
      <c r="G35" s="441">
        <v>5100</v>
      </c>
      <c r="H35" s="864">
        <v>1700</v>
      </c>
      <c r="I35" s="824"/>
      <c r="J35" s="824"/>
      <c r="K35" s="870"/>
      <c r="L35" s="824">
        <v>6800</v>
      </c>
      <c r="M35" s="824"/>
      <c r="N35" s="1259"/>
      <c r="O35" s="1259"/>
      <c r="P35" s="1260"/>
      <c r="Q35" s="103"/>
      <c r="S35" s="367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70"/>
    </row>
    <row r="36" spans="2:33" ht="22.5" customHeight="1">
      <c r="B36" s="114"/>
      <c r="C36" s="1245" t="s">
        <v>1025</v>
      </c>
      <c r="D36" s="1244"/>
      <c r="E36" s="849" t="s">
        <v>206</v>
      </c>
      <c r="F36" s="857"/>
      <c r="G36" s="441"/>
      <c r="H36" s="864"/>
      <c r="I36" s="824">
        <v>354378.97</v>
      </c>
      <c r="J36" s="824">
        <v>265784.23</v>
      </c>
      <c r="K36" s="870">
        <v>88594.74</v>
      </c>
      <c r="L36" s="824"/>
      <c r="M36" s="824">
        <v>354378.97</v>
      </c>
      <c r="N36" s="1259"/>
      <c r="O36" s="1259"/>
      <c r="P36" s="1260"/>
      <c r="Q36" s="103"/>
      <c r="S36" s="367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70"/>
    </row>
    <row r="37" spans="2:33" ht="22.5" customHeight="1">
      <c r="B37" s="114"/>
      <c r="C37" s="506"/>
      <c r="D37" s="507"/>
      <c r="E37" s="850"/>
      <c r="F37" s="858"/>
      <c r="G37" s="436"/>
      <c r="H37" s="865"/>
      <c r="I37" s="825"/>
      <c r="J37" s="825"/>
      <c r="K37" s="871"/>
      <c r="L37" s="825"/>
      <c r="M37" s="825"/>
      <c r="N37" s="1261"/>
      <c r="O37" s="1261"/>
      <c r="P37" s="1262"/>
      <c r="Q37" s="103"/>
      <c r="S37" s="367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70"/>
    </row>
    <row r="38" spans="2:33" ht="22.5" customHeight="1" thickBot="1">
      <c r="B38" s="114"/>
      <c r="C38" s="900" t="s">
        <v>668</v>
      </c>
      <c r="D38" s="901"/>
      <c r="E38" s="902"/>
      <c r="F38" s="903">
        <f aca="true" t="shared" si="0" ref="F38:M38">SUM(F21:F37)</f>
        <v>310369.75</v>
      </c>
      <c r="G38" s="616">
        <f t="shared" si="0"/>
        <v>232777.31</v>
      </c>
      <c r="H38" s="904">
        <f t="shared" si="0"/>
        <v>77592.44</v>
      </c>
      <c r="I38" s="714">
        <f t="shared" si="0"/>
        <v>1380730.1099999999</v>
      </c>
      <c r="J38" s="616">
        <f t="shared" si="0"/>
        <v>1035547.59</v>
      </c>
      <c r="K38" s="904">
        <f t="shared" si="0"/>
        <v>345182.52</v>
      </c>
      <c r="L38" s="714">
        <f t="shared" si="0"/>
        <v>475193.75</v>
      </c>
      <c r="M38" s="616">
        <f t="shared" si="0"/>
        <v>1380730.1099999999</v>
      </c>
      <c r="N38" s="905"/>
      <c r="O38" s="906"/>
      <c r="P38" s="905"/>
      <c r="Q38" s="103"/>
      <c r="S38" s="367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70"/>
    </row>
    <row r="39" spans="2:33" ht="7.5" customHeight="1">
      <c r="B39" s="100"/>
      <c r="C39" s="898"/>
      <c r="D39" s="898"/>
      <c r="E39" s="898"/>
      <c r="F39" s="898"/>
      <c r="G39" s="898"/>
      <c r="H39" s="898"/>
      <c r="I39" s="898"/>
      <c r="J39" s="898"/>
      <c r="K39" s="898"/>
      <c r="L39" s="907"/>
      <c r="M39" s="907"/>
      <c r="N39" s="907"/>
      <c r="O39" s="907"/>
      <c r="P39" s="907"/>
      <c r="Q39" s="103"/>
      <c r="S39" s="367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70"/>
    </row>
    <row r="40" spans="2:33" ht="22.5" customHeight="1">
      <c r="B40" s="114"/>
      <c r="C40" s="1388" t="s">
        <v>669</v>
      </c>
      <c r="D40" s="1389"/>
      <c r="E40" s="1389"/>
      <c r="F40" s="872">
        <f>G40+H40</f>
        <v>-570454.16</v>
      </c>
      <c r="G40" s="852">
        <v>-411618.62</v>
      </c>
      <c r="H40" s="866">
        <v>-158835.54</v>
      </c>
      <c r="I40" s="872">
        <f>+J40+K40</f>
        <v>-728157.43</v>
      </c>
      <c r="J40" s="852">
        <v>-532969.78</v>
      </c>
      <c r="K40" s="866">
        <v>-195187.65</v>
      </c>
      <c r="L40" s="897"/>
      <c r="M40" s="897"/>
      <c r="N40" s="908"/>
      <c r="O40" s="908"/>
      <c r="P40" s="908"/>
      <c r="Q40" s="103"/>
      <c r="S40" s="367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70"/>
    </row>
    <row r="41" spans="2:33" ht="22.5" customHeight="1" thickBot="1">
      <c r="B41" s="114"/>
      <c r="C41" s="900" t="s">
        <v>670</v>
      </c>
      <c r="D41" s="901"/>
      <c r="E41" s="902"/>
      <c r="F41" s="873">
        <f>G41+H41</f>
        <v>13626373.076125368</v>
      </c>
      <c r="G41" s="616">
        <f>+G19+G38+G40</f>
        <v>10093022.89</v>
      </c>
      <c r="H41" s="904">
        <f>+H19+H38+H40</f>
        <v>3533350.186125368</v>
      </c>
      <c r="I41" s="874">
        <f>J41+K41</f>
        <v>14278945.756125368</v>
      </c>
      <c r="J41" s="616">
        <f>J19+J38+SUM(J40:J40)</f>
        <v>10595600.700000001</v>
      </c>
      <c r="K41" s="904">
        <f>K19+K38+SUM(K40:K40)</f>
        <v>3683345.056125368</v>
      </c>
      <c r="L41" s="909"/>
      <c r="M41" s="909"/>
      <c r="N41" s="908"/>
      <c r="O41" s="908"/>
      <c r="P41" s="908"/>
      <c r="Q41" s="103"/>
      <c r="S41" s="367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70"/>
    </row>
    <row r="42" spans="2:33" ht="22.5" customHeight="1">
      <c r="B42" s="114"/>
      <c r="C42" s="144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03"/>
      <c r="S42" s="367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70"/>
    </row>
    <row r="43" spans="2:33" ht="22.5" customHeight="1">
      <c r="B43" s="114"/>
      <c r="C43" s="21" t="s">
        <v>930</v>
      </c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03"/>
      <c r="S43" s="367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70"/>
    </row>
    <row r="44" spans="2:33" ht="36" customHeight="1">
      <c r="B44" s="114"/>
      <c r="C44" s="1394" t="s">
        <v>1125</v>
      </c>
      <c r="D44" s="1395"/>
      <c r="E44" s="1384" t="s">
        <v>663</v>
      </c>
      <c r="F44" s="1385"/>
      <c r="G44" s="1382" t="s">
        <v>1132</v>
      </c>
      <c r="H44" s="1383"/>
      <c r="I44" s="1382" t="s">
        <v>1133</v>
      </c>
      <c r="J44" s="1383"/>
      <c r="K44" s="829"/>
      <c r="L44" s="829"/>
      <c r="M44" s="829"/>
      <c r="N44" s="145"/>
      <c r="O44" s="145"/>
      <c r="P44" s="145"/>
      <c r="Q44" s="103"/>
      <c r="S44" s="367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70"/>
    </row>
    <row r="45" spans="2:33" ht="18">
      <c r="B45" s="114"/>
      <c r="C45" s="1392" t="s">
        <v>1126</v>
      </c>
      <c r="D45" s="1393"/>
      <c r="E45" s="1402" t="s">
        <v>155</v>
      </c>
      <c r="F45" s="1403"/>
      <c r="G45" s="829">
        <f>ejercicio-1</f>
        <v>2019</v>
      </c>
      <c r="H45" s="829">
        <f>ejercicio</f>
        <v>2020</v>
      </c>
      <c r="I45" s="829">
        <f>ejercicio-1</f>
        <v>2019</v>
      </c>
      <c r="J45" s="829">
        <f>ejercicio</f>
        <v>2020</v>
      </c>
      <c r="K45" s="829" t="s">
        <v>665</v>
      </c>
      <c r="L45" s="829" t="s">
        <v>667</v>
      </c>
      <c r="M45" s="829" t="s">
        <v>666</v>
      </c>
      <c r="N45" s="145"/>
      <c r="O45" s="145"/>
      <c r="P45" s="145"/>
      <c r="Q45" s="103"/>
      <c r="S45" s="367"/>
      <c r="T45" s="369"/>
      <c r="U45" s="1177"/>
      <c r="V45" s="1177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70"/>
    </row>
    <row r="46" spans="2:33" ht="22.5" customHeight="1">
      <c r="B46" s="114"/>
      <c r="C46" s="1169" t="s">
        <v>1139</v>
      </c>
      <c r="D46" s="503"/>
      <c r="E46" s="1172" t="s">
        <v>286</v>
      </c>
      <c r="F46" s="1171"/>
      <c r="G46" s="428">
        <v>440000</v>
      </c>
      <c r="H46" s="1279"/>
      <c r="I46" s="1280">
        <f>G46</f>
        <v>440000</v>
      </c>
      <c r="J46" s="1279"/>
      <c r="K46" s="1253">
        <v>1112</v>
      </c>
      <c r="L46" s="1253">
        <v>4632</v>
      </c>
      <c r="M46" s="1254">
        <v>44931</v>
      </c>
      <c r="N46" s="851"/>
      <c r="O46" s="851"/>
      <c r="P46" s="851"/>
      <c r="Q46" s="103"/>
      <c r="S46" s="367"/>
      <c r="T46" s="369"/>
      <c r="U46" s="1177"/>
      <c r="V46" s="1177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70"/>
    </row>
    <row r="47" spans="2:33" ht="22.5" customHeight="1">
      <c r="B47" s="114"/>
      <c r="C47" s="1169" t="s">
        <v>1140</v>
      </c>
      <c r="D47" s="1170"/>
      <c r="E47" s="1172" t="s">
        <v>286</v>
      </c>
      <c r="F47" s="1178"/>
      <c r="G47" s="439">
        <v>50000</v>
      </c>
      <c r="H47" s="1279"/>
      <c r="I47" s="1280"/>
      <c r="J47" s="1279"/>
      <c r="K47" s="1255"/>
      <c r="L47" s="1255"/>
      <c r="M47" s="1256"/>
      <c r="N47" s="851"/>
      <c r="O47" s="851"/>
      <c r="P47" s="851"/>
      <c r="Q47" s="103"/>
      <c r="S47" s="367"/>
      <c r="T47" s="369"/>
      <c r="U47" s="1177"/>
      <c r="V47" s="1177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70"/>
    </row>
    <row r="48" spans="2:33" ht="22.5" customHeight="1">
      <c r="B48" s="114"/>
      <c r="C48" s="1153" t="s">
        <v>1141</v>
      </c>
      <c r="D48" s="505"/>
      <c r="E48" s="1172" t="s">
        <v>286</v>
      </c>
      <c r="F48" s="1173"/>
      <c r="G48" s="439">
        <v>50000</v>
      </c>
      <c r="H48" s="1279"/>
      <c r="I48" s="1280"/>
      <c r="J48" s="1279"/>
      <c r="K48" s="1255"/>
      <c r="L48" s="1255"/>
      <c r="M48" s="1256"/>
      <c r="N48" s="851"/>
      <c r="O48" s="851"/>
      <c r="P48" s="851"/>
      <c r="Q48" s="103"/>
      <c r="S48" s="367"/>
      <c r="T48" s="369"/>
      <c r="U48" s="1177"/>
      <c r="V48" s="1177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70"/>
    </row>
    <row r="49" spans="2:33" ht="22.5" customHeight="1">
      <c r="B49" s="114"/>
      <c r="C49" s="1153" t="s">
        <v>1142</v>
      </c>
      <c r="D49" s="505"/>
      <c r="E49" s="1154" t="s">
        <v>286</v>
      </c>
      <c r="F49" s="1173"/>
      <c r="G49" s="1176">
        <v>104666.67</v>
      </c>
      <c r="H49" s="1279"/>
      <c r="I49" s="1280"/>
      <c r="J49" s="1279"/>
      <c r="K49" s="1263"/>
      <c r="L49" s="1263"/>
      <c r="M49" s="1264"/>
      <c r="N49" s="851"/>
      <c r="O49" s="851"/>
      <c r="P49" s="851"/>
      <c r="Q49" s="103"/>
      <c r="S49" s="367"/>
      <c r="T49" s="369"/>
      <c r="U49" s="1177"/>
      <c r="V49" s="1177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70"/>
    </row>
    <row r="50" spans="2:33" ht="22.5" customHeight="1">
      <c r="B50" s="114"/>
      <c r="C50" s="504" t="s">
        <v>1143</v>
      </c>
      <c r="D50" s="505"/>
      <c r="E50" s="1172" t="s">
        <v>286</v>
      </c>
      <c r="F50" s="1174"/>
      <c r="G50" s="441">
        <v>43333.33</v>
      </c>
      <c r="H50" s="1279"/>
      <c r="I50" s="1280"/>
      <c r="J50" s="1279"/>
      <c r="K50" s="1259"/>
      <c r="L50" s="1259"/>
      <c r="M50" s="1260"/>
      <c r="N50" s="851"/>
      <c r="O50" s="851"/>
      <c r="P50" s="851"/>
      <c r="Q50" s="103"/>
      <c r="S50" s="367"/>
      <c r="T50" s="369"/>
      <c r="U50" s="1177"/>
      <c r="V50" s="1177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70"/>
    </row>
    <row r="51" spans="2:33" ht="22.5" customHeight="1">
      <c r="B51" s="114"/>
      <c r="C51" s="504" t="s">
        <v>1144</v>
      </c>
      <c r="D51" s="505"/>
      <c r="E51" s="1172" t="s">
        <v>286</v>
      </c>
      <c r="F51" s="1174"/>
      <c r="G51" s="441">
        <v>28390</v>
      </c>
      <c r="H51" s="1279"/>
      <c r="I51" s="1280"/>
      <c r="J51" s="1279"/>
      <c r="K51" s="1259"/>
      <c r="L51" s="1259"/>
      <c r="M51" s="1260"/>
      <c r="N51" s="851"/>
      <c r="O51" s="851"/>
      <c r="P51" s="851"/>
      <c r="Q51" s="103"/>
      <c r="S51" s="367"/>
      <c r="T51" s="369"/>
      <c r="U51" s="1177"/>
      <c r="V51" s="1177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70"/>
    </row>
    <row r="52" spans="2:33" ht="22.5" customHeight="1">
      <c r="B52" s="114"/>
      <c r="C52" s="1153" t="s">
        <v>1026</v>
      </c>
      <c r="D52" s="505"/>
      <c r="E52" s="1172" t="s">
        <v>286</v>
      </c>
      <c r="F52" s="1174"/>
      <c r="G52" s="441">
        <v>1000000</v>
      </c>
      <c r="H52" s="1279"/>
      <c r="I52" s="1280">
        <f aca="true" t="shared" si="1" ref="I52:I82">G52</f>
        <v>1000000</v>
      </c>
      <c r="J52" s="1279"/>
      <c r="K52" s="1259"/>
      <c r="L52" s="1259"/>
      <c r="M52" s="1260"/>
      <c r="N52" s="851"/>
      <c r="O52" s="851"/>
      <c r="P52" s="851"/>
      <c r="Q52" s="103"/>
      <c r="S52" s="367"/>
      <c r="T52" s="369"/>
      <c r="U52" s="1177"/>
      <c r="V52" s="1177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70"/>
    </row>
    <row r="53" spans="2:33" ht="22.5" customHeight="1">
      <c r="B53" s="114"/>
      <c r="C53" s="504" t="s">
        <v>1064</v>
      </c>
      <c r="D53" s="505"/>
      <c r="E53" s="1172" t="s">
        <v>286</v>
      </c>
      <c r="F53" s="1174"/>
      <c r="G53" s="441"/>
      <c r="H53" s="1279">
        <v>24000</v>
      </c>
      <c r="I53" s="1280">
        <v>24000</v>
      </c>
      <c r="J53" s="1279"/>
      <c r="K53" s="1259"/>
      <c r="L53" s="1259"/>
      <c r="M53" s="1260"/>
      <c r="N53" s="851"/>
      <c r="O53" s="851"/>
      <c r="P53" s="851"/>
      <c r="Q53" s="103"/>
      <c r="S53" s="367"/>
      <c r="T53" s="369"/>
      <c r="U53" s="1177"/>
      <c r="V53" s="1177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70"/>
    </row>
    <row r="54" spans="2:33" ht="22.5" customHeight="1">
      <c r="B54" s="114"/>
      <c r="C54" s="504" t="s">
        <v>1065</v>
      </c>
      <c r="D54" s="505"/>
      <c r="E54" s="1172" t="s">
        <v>286</v>
      </c>
      <c r="F54" s="1174"/>
      <c r="G54" s="441"/>
      <c r="H54" s="1279">
        <v>200000</v>
      </c>
      <c r="I54" s="1280">
        <v>331705</v>
      </c>
      <c r="J54" s="1279"/>
      <c r="K54" s="1259"/>
      <c r="L54" s="1259"/>
      <c r="M54" s="1260"/>
      <c r="N54" s="851"/>
      <c r="O54" s="851"/>
      <c r="P54" s="851"/>
      <c r="Q54" s="103"/>
      <c r="S54" s="367"/>
      <c r="T54" s="369"/>
      <c r="U54" s="1177"/>
      <c r="V54" s="1177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70"/>
    </row>
    <row r="55" spans="2:33" ht="22.5" customHeight="1">
      <c r="B55" s="114"/>
      <c r="C55" s="504" t="s">
        <v>1066</v>
      </c>
      <c r="D55" s="505"/>
      <c r="E55" s="1172" t="s">
        <v>286</v>
      </c>
      <c r="F55" s="1174"/>
      <c r="G55" s="441"/>
      <c r="H55" s="1279">
        <v>125000</v>
      </c>
      <c r="I55" s="1280">
        <v>276471</v>
      </c>
      <c r="J55" s="1279"/>
      <c r="K55" s="1259"/>
      <c r="L55" s="1259"/>
      <c r="M55" s="1260"/>
      <c r="N55" s="851"/>
      <c r="O55" s="851"/>
      <c r="P55" s="851"/>
      <c r="Q55" s="103"/>
      <c r="S55" s="367"/>
      <c r="T55" s="369"/>
      <c r="U55" s="1177"/>
      <c r="V55" s="1177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70"/>
    </row>
    <row r="56" spans="2:33" ht="22.5" customHeight="1">
      <c r="B56" s="114"/>
      <c r="C56" s="504" t="s">
        <v>1067</v>
      </c>
      <c r="D56" s="505"/>
      <c r="E56" s="1172" t="s">
        <v>286</v>
      </c>
      <c r="F56" s="1174"/>
      <c r="G56" s="441"/>
      <c r="H56" s="1279">
        <v>90000</v>
      </c>
      <c r="I56" s="1280">
        <v>142000</v>
      </c>
      <c r="J56" s="1279"/>
      <c r="K56" s="1259"/>
      <c r="L56" s="1259"/>
      <c r="M56" s="1260"/>
      <c r="N56" s="851"/>
      <c r="O56" s="851"/>
      <c r="P56" s="851"/>
      <c r="Q56" s="103"/>
      <c r="S56" s="367"/>
      <c r="T56" s="369"/>
      <c r="U56" s="1177"/>
      <c r="V56" s="1177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70"/>
    </row>
    <row r="57" spans="2:33" ht="22.5" customHeight="1">
      <c r="B57" s="114"/>
      <c r="C57" s="504" t="s">
        <v>1145</v>
      </c>
      <c r="D57" s="505"/>
      <c r="E57" s="1172" t="s">
        <v>490</v>
      </c>
      <c r="F57" s="1174"/>
      <c r="G57" s="441">
        <v>11824.5</v>
      </c>
      <c r="H57" s="1279">
        <v>11824.5</v>
      </c>
      <c r="I57" s="1280">
        <f t="shared" si="1"/>
        <v>11824.5</v>
      </c>
      <c r="J57" s="1279">
        <f aca="true" t="shared" si="2" ref="J57:J78">H57</f>
        <v>11824.5</v>
      </c>
      <c r="K57" s="1259"/>
      <c r="L57" s="1259"/>
      <c r="M57" s="1260"/>
      <c r="N57" s="851"/>
      <c r="O57" s="851"/>
      <c r="P57" s="851"/>
      <c r="Q57" s="103"/>
      <c r="S57" s="367"/>
      <c r="T57" s="369"/>
      <c r="U57" s="1177"/>
      <c r="V57" s="1177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70"/>
    </row>
    <row r="58" spans="2:33" ht="22.5" customHeight="1">
      <c r="B58" s="114"/>
      <c r="C58" s="504" t="s">
        <v>641</v>
      </c>
      <c r="D58" s="505"/>
      <c r="E58" s="1172" t="s">
        <v>490</v>
      </c>
      <c r="F58" s="1174"/>
      <c r="G58" s="441">
        <v>19308</v>
      </c>
      <c r="H58" s="1279"/>
      <c r="I58" s="1280">
        <f t="shared" si="1"/>
        <v>19308</v>
      </c>
      <c r="J58" s="1279"/>
      <c r="K58" s="1259"/>
      <c r="L58" s="1259"/>
      <c r="M58" s="1260"/>
      <c r="N58" s="851"/>
      <c r="O58" s="851"/>
      <c r="P58" s="851"/>
      <c r="Q58" s="103"/>
      <c r="S58" s="367"/>
      <c r="T58" s="369"/>
      <c r="U58" s="1177"/>
      <c r="V58" s="1177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70"/>
    </row>
    <row r="59" spans="2:33" ht="22.5" customHeight="1">
      <c r="B59" s="114"/>
      <c r="C59" s="504" t="s">
        <v>642</v>
      </c>
      <c r="D59" s="505"/>
      <c r="E59" s="1172" t="s">
        <v>490</v>
      </c>
      <c r="F59" s="1174"/>
      <c r="G59" s="441">
        <v>61921.46</v>
      </c>
      <c r="H59" s="1279">
        <v>89762.85</v>
      </c>
      <c r="I59" s="1280">
        <f t="shared" si="1"/>
        <v>61921.46</v>
      </c>
      <c r="J59" s="1279">
        <f t="shared" si="2"/>
        <v>89762.85</v>
      </c>
      <c r="K59" s="1259"/>
      <c r="L59" s="1259"/>
      <c r="M59" s="1260"/>
      <c r="N59" s="851"/>
      <c r="O59" s="851"/>
      <c r="P59" s="851"/>
      <c r="Q59" s="103"/>
      <c r="S59" s="367"/>
      <c r="T59" s="369"/>
      <c r="U59" s="1177"/>
      <c r="V59" s="1177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70"/>
    </row>
    <row r="60" spans="2:33" ht="22.5" customHeight="1">
      <c r="B60" s="114"/>
      <c r="C60" s="504" t="s">
        <v>643</v>
      </c>
      <c r="D60" s="505"/>
      <c r="E60" s="1172" t="s">
        <v>490</v>
      </c>
      <c r="F60" s="1174"/>
      <c r="G60" s="441">
        <v>98320.61</v>
      </c>
      <c r="H60" s="1279">
        <v>62985.41</v>
      </c>
      <c r="I60" s="1280">
        <f t="shared" si="1"/>
        <v>98320.61</v>
      </c>
      <c r="J60" s="1279">
        <f t="shared" si="2"/>
        <v>62985.41</v>
      </c>
      <c r="K60" s="1259"/>
      <c r="L60" s="1259"/>
      <c r="M60" s="1260"/>
      <c r="N60" s="851"/>
      <c r="O60" s="851"/>
      <c r="P60" s="851"/>
      <c r="Q60" s="103"/>
      <c r="S60" s="367"/>
      <c r="T60" s="369"/>
      <c r="U60" s="1177"/>
      <c r="V60" s="1177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70"/>
    </row>
    <row r="61" spans="2:33" ht="22.5" customHeight="1">
      <c r="B61" s="114"/>
      <c r="C61" s="504" t="s">
        <v>644</v>
      </c>
      <c r="D61" s="505"/>
      <c r="E61" s="1172" t="s">
        <v>490</v>
      </c>
      <c r="F61" s="1174"/>
      <c r="G61" s="441">
        <v>53634.54</v>
      </c>
      <c r="H61" s="1279">
        <v>53549.85</v>
      </c>
      <c r="I61" s="1280">
        <f t="shared" si="1"/>
        <v>53634.54</v>
      </c>
      <c r="J61" s="1279">
        <f t="shared" si="2"/>
        <v>53549.85</v>
      </c>
      <c r="K61" s="1259"/>
      <c r="L61" s="1259"/>
      <c r="M61" s="1260"/>
      <c r="N61" s="851"/>
      <c r="O61" s="851"/>
      <c r="P61" s="851"/>
      <c r="Q61" s="103"/>
      <c r="S61" s="367"/>
      <c r="T61" s="369"/>
      <c r="U61" s="1177"/>
      <c r="V61" s="1177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70"/>
    </row>
    <row r="62" spans="2:33" ht="22.5" customHeight="1">
      <c r="B62" s="114"/>
      <c r="C62" s="504" t="s">
        <v>209</v>
      </c>
      <c r="D62" s="505"/>
      <c r="E62" s="1172" t="s">
        <v>490</v>
      </c>
      <c r="F62" s="1174"/>
      <c r="G62" s="441">
        <v>110900.66</v>
      </c>
      <c r="H62" s="1279">
        <v>64212.12</v>
      </c>
      <c r="I62" s="1280">
        <f t="shared" si="1"/>
        <v>110900.66</v>
      </c>
      <c r="J62" s="1279">
        <f t="shared" si="2"/>
        <v>64212.12</v>
      </c>
      <c r="K62" s="1259"/>
      <c r="L62" s="1259"/>
      <c r="M62" s="1260"/>
      <c r="N62" s="851"/>
      <c r="O62" s="851"/>
      <c r="P62" s="851"/>
      <c r="Q62" s="103"/>
      <c r="S62" s="367"/>
      <c r="T62" s="369"/>
      <c r="U62" s="1177"/>
      <c r="V62" s="1177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70"/>
    </row>
    <row r="63" spans="2:33" ht="22.5" customHeight="1">
      <c r="B63" s="114"/>
      <c r="C63" s="504" t="s">
        <v>645</v>
      </c>
      <c r="D63" s="505"/>
      <c r="E63" s="1172" t="s">
        <v>490</v>
      </c>
      <c r="F63" s="1174"/>
      <c r="G63" s="441">
        <v>62454.9</v>
      </c>
      <c r="H63" s="1279">
        <v>47240.98</v>
      </c>
      <c r="I63" s="1280">
        <f t="shared" si="1"/>
        <v>62454.9</v>
      </c>
      <c r="J63" s="1279">
        <f t="shared" si="2"/>
        <v>47240.98</v>
      </c>
      <c r="K63" s="1259"/>
      <c r="L63" s="1259"/>
      <c r="M63" s="1260"/>
      <c r="N63" s="851"/>
      <c r="O63" s="851"/>
      <c r="P63" s="851"/>
      <c r="Q63" s="103"/>
      <c r="S63" s="367"/>
      <c r="T63" s="369"/>
      <c r="U63" s="1177"/>
      <c r="V63" s="1177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70"/>
    </row>
    <row r="64" spans="2:33" ht="22.5" customHeight="1">
      <c r="B64" s="114"/>
      <c r="C64" s="504" t="s">
        <v>646</v>
      </c>
      <c r="D64" s="505"/>
      <c r="E64" s="1172" t="s">
        <v>490</v>
      </c>
      <c r="F64" s="1174"/>
      <c r="G64" s="441">
        <v>81438.76</v>
      </c>
      <c r="H64" s="1279">
        <v>51400.76</v>
      </c>
      <c r="I64" s="1280">
        <f t="shared" si="1"/>
        <v>81438.76</v>
      </c>
      <c r="J64" s="1279">
        <f t="shared" si="2"/>
        <v>51400.76</v>
      </c>
      <c r="K64" s="1259"/>
      <c r="L64" s="1259"/>
      <c r="M64" s="1260"/>
      <c r="N64" s="851"/>
      <c r="O64" s="851"/>
      <c r="P64" s="851"/>
      <c r="Q64" s="103"/>
      <c r="S64" s="367"/>
      <c r="T64" s="369"/>
      <c r="U64" s="1177"/>
      <c r="V64" s="1177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70"/>
    </row>
    <row r="65" spans="2:33" ht="22.5" customHeight="1">
      <c r="B65" s="114"/>
      <c r="C65" s="504" t="s">
        <v>647</v>
      </c>
      <c r="D65" s="505"/>
      <c r="E65" s="1172" t="s">
        <v>490</v>
      </c>
      <c r="F65" s="1174"/>
      <c r="G65" s="441">
        <v>74138.73</v>
      </c>
      <c r="H65" s="1279">
        <v>63342.49</v>
      </c>
      <c r="I65" s="1280">
        <f t="shared" si="1"/>
        <v>74138.73</v>
      </c>
      <c r="J65" s="1279">
        <f t="shared" si="2"/>
        <v>63342.49</v>
      </c>
      <c r="K65" s="1259"/>
      <c r="L65" s="1259"/>
      <c r="M65" s="1260"/>
      <c r="N65" s="851"/>
      <c r="O65" s="851"/>
      <c r="P65" s="851"/>
      <c r="Q65" s="103"/>
      <c r="S65" s="367"/>
      <c r="T65" s="1265"/>
      <c r="U65" s="1177"/>
      <c r="V65" s="1177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70"/>
    </row>
    <row r="66" spans="2:33" ht="22.5" customHeight="1">
      <c r="B66" s="114"/>
      <c r="C66" s="504" t="s">
        <v>648</v>
      </c>
      <c r="D66" s="505"/>
      <c r="E66" s="1172" t="s">
        <v>490</v>
      </c>
      <c r="F66" s="1174"/>
      <c r="G66" s="441">
        <v>20780.8</v>
      </c>
      <c r="H66" s="1279">
        <v>20780.8</v>
      </c>
      <c r="I66" s="1280">
        <f t="shared" si="1"/>
        <v>20780.8</v>
      </c>
      <c r="J66" s="1279">
        <f t="shared" si="2"/>
        <v>20780.8</v>
      </c>
      <c r="K66" s="1259"/>
      <c r="L66" s="1259"/>
      <c r="M66" s="1260"/>
      <c r="N66" s="851"/>
      <c r="O66" s="851"/>
      <c r="P66" s="851"/>
      <c r="Q66" s="103"/>
      <c r="S66" s="367"/>
      <c r="T66" s="1265"/>
      <c r="U66" s="1177"/>
      <c r="V66" s="1177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70"/>
    </row>
    <row r="67" spans="2:33" ht="22.5" customHeight="1">
      <c r="B67" s="114"/>
      <c r="C67" s="504" t="s">
        <v>649</v>
      </c>
      <c r="D67" s="505"/>
      <c r="E67" s="1172" t="s">
        <v>490</v>
      </c>
      <c r="F67" s="1174"/>
      <c r="G67" s="441">
        <v>8712</v>
      </c>
      <c r="H67" s="1279"/>
      <c r="I67" s="1280">
        <f t="shared" si="1"/>
        <v>8712</v>
      </c>
      <c r="J67" s="1279"/>
      <c r="K67" s="1259"/>
      <c r="L67" s="1259"/>
      <c r="M67" s="1260"/>
      <c r="N67" s="851"/>
      <c r="O67" s="851"/>
      <c r="P67" s="851"/>
      <c r="Q67" s="103"/>
      <c r="S67" s="367"/>
      <c r="T67" s="1265"/>
      <c r="U67" s="1177"/>
      <c r="V67" s="1177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70"/>
    </row>
    <row r="68" spans="2:33" ht="22.5" customHeight="1">
      <c r="B68" s="114"/>
      <c r="C68" s="504" t="s">
        <v>650</v>
      </c>
      <c r="D68" s="505"/>
      <c r="E68" s="1172" t="s">
        <v>490</v>
      </c>
      <c r="F68" s="1174"/>
      <c r="G68" s="441">
        <v>44962.97</v>
      </c>
      <c r="H68" s="1279"/>
      <c r="I68" s="1280">
        <f t="shared" si="1"/>
        <v>44962.97</v>
      </c>
      <c r="J68" s="1279"/>
      <c r="K68" s="1259"/>
      <c r="L68" s="1259"/>
      <c r="M68" s="1260"/>
      <c r="N68" s="851"/>
      <c r="O68" s="851"/>
      <c r="P68" s="851"/>
      <c r="Q68" s="103"/>
      <c r="S68" s="367"/>
      <c r="T68" s="1265"/>
      <c r="U68" s="1177"/>
      <c r="V68" s="1177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70"/>
    </row>
    <row r="69" spans="2:33" ht="22.5" customHeight="1">
      <c r="B69" s="114"/>
      <c r="C69" s="504" t="s">
        <v>651</v>
      </c>
      <c r="D69" s="505"/>
      <c r="E69" s="1172" t="s">
        <v>490</v>
      </c>
      <c r="F69" s="1174"/>
      <c r="G69" s="441">
        <v>88464.53</v>
      </c>
      <c r="H69" s="1279">
        <v>44232.27</v>
      </c>
      <c r="I69" s="1280">
        <f t="shared" si="1"/>
        <v>88464.53</v>
      </c>
      <c r="J69" s="1279">
        <f t="shared" si="2"/>
        <v>44232.27</v>
      </c>
      <c r="K69" s="1259"/>
      <c r="L69" s="1259"/>
      <c r="M69" s="1260"/>
      <c r="N69" s="851"/>
      <c r="O69" s="851"/>
      <c r="P69" s="851"/>
      <c r="Q69" s="103"/>
      <c r="S69" s="367"/>
      <c r="T69" s="1265"/>
      <c r="U69" s="1177"/>
      <c r="V69" s="1177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70"/>
    </row>
    <row r="70" spans="2:33" ht="22.5" customHeight="1">
      <c r="B70" s="114"/>
      <c r="C70" s="504" t="s">
        <v>652</v>
      </c>
      <c r="D70" s="505"/>
      <c r="E70" s="1172" t="s">
        <v>490</v>
      </c>
      <c r="F70" s="1174"/>
      <c r="G70" s="441">
        <v>17417.19</v>
      </c>
      <c r="H70" s="1279"/>
      <c r="I70" s="1280">
        <f t="shared" si="1"/>
        <v>17417.19</v>
      </c>
      <c r="J70" s="1279"/>
      <c r="K70" s="1259"/>
      <c r="L70" s="1259"/>
      <c r="M70" s="1260"/>
      <c r="N70" s="851"/>
      <c r="O70" s="851"/>
      <c r="P70" s="851"/>
      <c r="Q70" s="103"/>
      <c r="S70" s="367"/>
      <c r="T70" s="1265"/>
      <c r="U70" s="1177"/>
      <c r="V70" s="1177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70"/>
    </row>
    <row r="71" spans="2:33" ht="22.5" customHeight="1">
      <c r="B71" s="114"/>
      <c r="C71" s="504" t="s">
        <v>207</v>
      </c>
      <c r="D71" s="505"/>
      <c r="E71" s="1172" t="s">
        <v>490</v>
      </c>
      <c r="F71" s="1174"/>
      <c r="G71" s="441">
        <v>102171.11</v>
      </c>
      <c r="H71" s="1279">
        <f>51085.56+18396.17</f>
        <v>69481.73</v>
      </c>
      <c r="I71" s="1280">
        <f t="shared" si="1"/>
        <v>102171.11</v>
      </c>
      <c r="J71" s="1279">
        <f t="shared" si="2"/>
        <v>69481.73</v>
      </c>
      <c r="K71" s="1259"/>
      <c r="L71" s="1259"/>
      <c r="M71" s="1260"/>
      <c r="N71" s="851"/>
      <c r="O71" s="851"/>
      <c r="P71" s="851"/>
      <c r="Q71" s="103"/>
      <c r="S71" s="367"/>
      <c r="T71" s="1265"/>
      <c r="U71" s="1177"/>
      <c r="V71" s="1177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70"/>
    </row>
    <row r="72" spans="2:33" ht="22.5" customHeight="1">
      <c r="B72" s="114"/>
      <c r="C72" s="504" t="s">
        <v>653</v>
      </c>
      <c r="D72" s="505"/>
      <c r="E72" s="1172" t="s">
        <v>490</v>
      </c>
      <c r="F72" s="1174"/>
      <c r="G72" s="441">
        <v>13482.4</v>
      </c>
      <c r="H72" s="1279"/>
      <c r="I72" s="1280">
        <f t="shared" si="1"/>
        <v>13482.4</v>
      </c>
      <c r="J72" s="1279"/>
      <c r="K72" s="1259"/>
      <c r="L72" s="1259"/>
      <c r="M72" s="1260"/>
      <c r="N72" s="851"/>
      <c r="O72" s="851"/>
      <c r="P72" s="851"/>
      <c r="Q72" s="103"/>
      <c r="S72" s="367"/>
      <c r="T72" s="1265"/>
      <c r="U72" s="1177"/>
      <c r="V72" s="1177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70"/>
    </row>
    <row r="73" spans="2:33" ht="22.5" customHeight="1">
      <c r="B73" s="114"/>
      <c r="C73" s="504" t="s">
        <v>212</v>
      </c>
      <c r="D73" s="505"/>
      <c r="E73" s="1172" t="s">
        <v>490</v>
      </c>
      <c r="F73" s="1174"/>
      <c r="G73" s="441">
        <v>4926.97</v>
      </c>
      <c r="H73" s="1279">
        <v>27512.29</v>
      </c>
      <c r="I73" s="1280">
        <f t="shared" si="1"/>
        <v>4926.97</v>
      </c>
      <c r="J73" s="1279">
        <f t="shared" si="2"/>
        <v>27512.29</v>
      </c>
      <c r="K73" s="1259"/>
      <c r="L73" s="1259"/>
      <c r="M73" s="1260"/>
      <c r="N73" s="851"/>
      <c r="O73" s="851"/>
      <c r="P73" s="851"/>
      <c r="Q73" s="103"/>
      <c r="S73" s="367"/>
      <c r="T73" s="1265"/>
      <c r="U73" s="1177"/>
      <c r="V73" s="1177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70"/>
    </row>
    <row r="74" spans="2:33" ht="22.5" customHeight="1">
      <c r="B74" s="114"/>
      <c r="C74" s="504" t="s">
        <v>213</v>
      </c>
      <c r="D74" s="505"/>
      <c r="E74" s="1172" t="s">
        <v>490</v>
      </c>
      <c r="F74" s="1174"/>
      <c r="G74" s="441">
        <v>19549.74</v>
      </c>
      <c r="H74" s="1279">
        <v>126788.2</v>
      </c>
      <c r="I74" s="1280">
        <f t="shared" si="1"/>
        <v>19549.74</v>
      </c>
      <c r="J74" s="1279">
        <f t="shared" si="2"/>
        <v>126788.2</v>
      </c>
      <c r="K74" s="1259"/>
      <c r="L74" s="1259"/>
      <c r="M74" s="1260"/>
      <c r="N74" s="851"/>
      <c r="O74" s="851"/>
      <c r="P74" s="851"/>
      <c r="Q74" s="103"/>
      <c r="S74" s="367"/>
      <c r="T74" s="1265"/>
      <c r="U74" s="1177"/>
      <c r="V74" s="1177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70"/>
    </row>
    <row r="75" spans="2:33" ht="22.5" customHeight="1">
      <c r="B75" s="114"/>
      <c r="C75" s="504" t="s">
        <v>214</v>
      </c>
      <c r="D75" s="505"/>
      <c r="E75" s="1172" t="s">
        <v>490</v>
      </c>
      <c r="F75" s="1174"/>
      <c r="G75" s="441">
        <v>715.54</v>
      </c>
      <c r="H75" s="1279">
        <v>9653.7</v>
      </c>
      <c r="I75" s="1280">
        <f t="shared" si="1"/>
        <v>715.54</v>
      </c>
      <c r="J75" s="1279">
        <f t="shared" si="2"/>
        <v>9653.7</v>
      </c>
      <c r="K75" s="1259"/>
      <c r="L75" s="1259"/>
      <c r="M75" s="1260"/>
      <c r="N75" s="851"/>
      <c r="O75" s="851"/>
      <c r="P75" s="851"/>
      <c r="Q75" s="103"/>
      <c r="S75" s="367"/>
      <c r="T75" s="1265"/>
      <c r="U75" s="1177"/>
      <c r="V75" s="1177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70"/>
    </row>
    <row r="76" spans="2:33" ht="22.5" customHeight="1">
      <c r="B76" s="114"/>
      <c r="C76" s="504" t="s">
        <v>215</v>
      </c>
      <c r="D76" s="505"/>
      <c r="E76" s="1172" t="s">
        <v>490</v>
      </c>
      <c r="F76" s="1174"/>
      <c r="G76" s="441">
        <v>651.09</v>
      </c>
      <c r="H76" s="1279">
        <v>12181.71</v>
      </c>
      <c r="I76" s="1280">
        <f t="shared" si="1"/>
        <v>651.09</v>
      </c>
      <c r="J76" s="1279">
        <f t="shared" si="2"/>
        <v>12181.71</v>
      </c>
      <c r="K76" s="1259"/>
      <c r="L76" s="1259"/>
      <c r="M76" s="1260"/>
      <c r="N76" s="851"/>
      <c r="O76" s="851"/>
      <c r="P76" s="851"/>
      <c r="Q76" s="103"/>
      <c r="S76" s="367"/>
      <c r="T76" s="1265"/>
      <c r="U76" s="1177"/>
      <c r="V76" s="1177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70"/>
    </row>
    <row r="77" spans="2:33" ht="22.5" customHeight="1">
      <c r="B77" s="114"/>
      <c r="C77" s="504" t="s">
        <v>208</v>
      </c>
      <c r="D77" s="505"/>
      <c r="E77" s="1172" t="s">
        <v>490</v>
      </c>
      <c r="F77" s="1174"/>
      <c r="G77" s="441">
        <v>4790.26</v>
      </c>
      <c r="H77" s="1279">
        <v>255780.56</v>
      </c>
      <c r="I77" s="1280">
        <f t="shared" si="1"/>
        <v>4790.26</v>
      </c>
      <c r="J77" s="1279">
        <f t="shared" si="2"/>
        <v>255780.56</v>
      </c>
      <c r="K77" s="1259"/>
      <c r="L77" s="1259"/>
      <c r="M77" s="1260"/>
      <c r="N77" s="851"/>
      <c r="O77" s="851"/>
      <c r="P77" s="851"/>
      <c r="Q77" s="103"/>
      <c r="S77" s="367"/>
      <c r="T77" s="1265"/>
      <c r="U77" s="1177"/>
      <c r="V77" s="1177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70"/>
    </row>
    <row r="78" spans="2:33" ht="28.5" customHeight="1">
      <c r="B78" s="114"/>
      <c r="C78" s="504" t="s">
        <v>211</v>
      </c>
      <c r="D78" s="505"/>
      <c r="E78" s="1172" t="s">
        <v>490</v>
      </c>
      <c r="F78" s="1174"/>
      <c r="G78" s="441">
        <v>73313.79</v>
      </c>
      <c r="H78" s="1279">
        <v>31749.6</v>
      </c>
      <c r="I78" s="1280">
        <f t="shared" si="1"/>
        <v>73313.79</v>
      </c>
      <c r="J78" s="1279">
        <f t="shared" si="2"/>
        <v>31749.6</v>
      </c>
      <c r="K78" s="1259"/>
      <c r="L78" s="1259"/>
      <c r="M78" s="1260"/>
      <c r="N78" s="851"/>
      <c r="O78" s="851"/>
      <c r="P78" s="851"/>
      <c r="Q78" s="103"/>
      <c r="S78" s="367"/>
      <c r="T78" s="1265"/>
      <c r="U78" s="1177"/>
      <c r="V78" s="1177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70"/>
    </row>
    <row r="79" spans="2:33" ht="28.5" customHeight="1">
      <c r="B79" s="114"/>
      <c r="C79" s="504" t="s">
        <v>1224</v>
      </c>
      <c r="D79" s="505"/>
      <c r="E79" s="1172" t="s">
        <v>286</v>
      </c>
      <c r="F79" s="1174"/>
      <c r="G79" s="441">
        <v>53000</v>
      </c>
      <c r="H79" s="1279"/>
      <c r="I79" s="1280">
        <f t="shared" si="1"/>
        <v>53000</v>
      </c>
      <c r="J79" s="1279"/>
      <c r="K79" s="1259"/>
      <c r="L79" s="1259"/>
      <c r="M79" s="1260"/>
      <c r="N79" s="851"/>
      <c r="O79" s="851"/>
      <c r="P79" s="851"/>
      <c r="Q79" s="103"/>
      <c r="S79" s="367"/>
      <c r="T79" s="1265"/>
      <c r="U79" s="1177"/>
      <c r="V79" s="1177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70"/>
    </row>
    <row r="80" spans="2:33" ht="28.5" customHeight="1">
      <c r="B80" s="114"/>
      <c r="C80" s="504" t="s">
        <v>1224</v>
      </c>
      <c r="D80" s="1244"/>
      <c r="E80" s="1172" t="s">
        <v>286</v>
      </c>
      <c r="F80" s="1278"/>
      <c r="G80" s="441">
        <v>314000</v>
      </c>
      <c r="H80" s="1279"/>
      <c r="I80" s="1280">
        <f t="shared" si="1"/>
        <v>314000</v>
      </c>
      <c r="J80" s="1279"/>
      <c r="K80" s="1259"/>
      <c r="L80" s="1259"/>
      <c r="M80" s="1260"/>
      <c r="N80" s="851"/>
      <c r="O80" s="851"/>
      <c r="P80" s="851"/>
      <c r="Q80" s="103"/>
      <c r="S80" s="367"/>
      <c r="T80" s="1265"/>
      <c r="U80" s="1177"/>
      <c r="V80" s="1177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70"/>
    </row>
    <row r="81" spans="2:33" ht="28.5" customHeight="1">
      <c r="B81" s="114"/>
      <c r="C81" s="1153" t="s">
        <v>1225</v>
      </c>
      <c r="D81" s="1244"/>
      <c r="E81" s="1172" t="s">
        <v>286</v>
      </c>
      <c r="F81" s="1278"/>
      <c r="G81" s="441">
        <v>200000</v>
      </c>
      <c r="H81" s="1279"/>
      <c r="I81" s="1280">
        <f t="shared" si="1"/>
        <v>200000</v>
      </c>
      <c r="J81" s="1279"/>
      <c r="K81" s="1259"/>
      <c r="L81" s="1259"/>
      <c r="M81" s="1260"/>
      <c r="N81" s="851"/>
      <c r="O81" s="851"/>
      <c r="P81" s="851"/>
      <c r="Q81" s="103"/>
      <c r="S81" s="367"/>
      <c r="T81" s="1265"/>
      <c r="U81" s="1177"/>
      <c r="V81" s="1177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70"/>
    </row>
    <row r="82" spans="2:33" ht="22.5" customHeight="1">
      <c r="B82" s="114"/>
      <c r="C82" s="1275" t="s">
        <v>1226</v>
      </c>
      <c r="D82" s="507"/>
      <c r="E82" s="1172" t="s">
        <v>286</v>
      </c>
      <c r="F82" s="1175"/>
      <c r="G82" s="436">
        <v>80000</v>
      </c>
      <c r="H82" s="1281"/>
      <c r="I82" s="1280">
        <f t="shared" si="1"/>
        <v>80000</v>
      </c>
      <c r="J82" s="1279"/>
      <c r="K82" s="1261">
        <v>1113</v>
      </c>
      <c r="L82" s="1261">
        <v>4401</v>
      </c>
      <c r="M82" s="1262">
        <v>44931</v>
      </c>
      <c r="N82" s="851"/>
      <c r="O82" s="851"/>
      <c r="P82" s="851"/>
      <c r="Q82" s="103"/>
      <c r="S82" s="367"/>
      <c r="T82" s="1265"/>
      <c r="U82" s="1177"/>
      <c r="V82" s="1177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70"/>
    </row>
    <row r="83" spans="2:33" ht="22.5" customHeight="1" thickBot="1">
      <c r="B83" s="114"/>
      <c r="C83" s="1399" t="s">
        <v>668</v>
      </c>
      <c r="D83" s="1400"/>
      <c r="E83" s="1400"/>
      <c r="F83" s="1401"/>
      <c r="G83" s="124">
        <f>SUM(G46:G82)</f>
        <v>3337270.5499999993</v>
      </c>
      <c r="H83" s="124">
        <f>SUM(H46:H82)</f>
        <v>1481479.82</v>
      </c>
      <c r="I83" s="124">
        <f>SUM(I46:I82)</f>
        <v>3835056.5499999993</v>
      </c>
      <c r="J83" s="124">
        <f>SUM(J46:J82)</f>
        <v>1042479.82</v>
      </c>
      <c r="K83" s="205"/>
      <c r="L83" s="145"/>
      <c r="M83" s="145"/>
      <c r="N83" s="145"/>
      <c r="O83" s="145"/>
      <c r="P83" s="145"/>
      <c r="Q83" s="103"/>
      <c r="S83" s="367"/>
      <c r="T83" s="1265"/>
      <c r="U83" s="1177"/>
      <c r="V83" s="1177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70"/>
    </row>
    <row r="84" spans="2:33" ht="22.5" customHeight="1">
      <c r="B84" s="114"/>
      <c r="C84" s="718"/>
      <c r="D84" s="718"/>
      <c r="E84" s="718"/>
      <c r="F84" s="1179" t="s">
        <v>158</v>
      </c>
      <c r="G84" s="207">
        <f>SUMIF(E46:E82,"Cabildo Insular de Tenerife",G46:G82)</f>
        <v>2363390</v>
      </c>
      <c r="H84" s="207">
        <f>SUMIF(E46:E82,"Cabildo Insular de Tenerife",H46:H82)</f>
        <v>439000</v>
      </c>
      <c r="I84" s="207">
        <f>SUMIF(E46:E82,"Cabildo Insular de Tenerife",I46:I82)</f>
        <v>2861176</v>
      </c>
      <c r="J84" s="207">
        <f>SUMIF(E46:E82,"Cabildo Insular de Tenerife",J46:J82)</f>
        <v>0</v>
      </c>
      <c r="K84" s="145"/>
      <c r="L84" s="145"/>
      <c r="M84" s="145"/>
      <c r="N84" s="145"/>
      <c r="O84" s="145"/>
      <c r="P84" s="145"/>
      <c r="Q84" s="103"/>
      <c r="S84" s="367"/>
      <c r="T84" s="1265"/>
      <c r="U84" s="1177"/>
      <c r="V84" s="1177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70"/>
    </row>
    <row r="85" spans="2:33" ht="22.5" customHeight="1">
      <c r="B85" s="114"/>
      <c r="C85" s="206"/>
      <c r="D85" s="206"/>
      <c r="E85" s="207"/>
      <c r="F85" s="207"/>
      <c r="G85" s="208"/>
      <c r="H85" s="208"/>
      <c r="I85" s="208"/>
      <c r="J85" s="208"/>
      <c r="K85" s="207"/>
      <c r="L85" s="207"/>
      <c r="M85" s="209"/>
      <c r="N85" s="209"/>
      <c r="O85" s="209"/>
      <c r="P85" s="209"/>
      <c r="Q85" s="103"/>
      <c r="S85" s="367"/>
      <c r="T85" s="1265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70"/>
    </row>
    <row r="86" spans="2:33" s="112" customFormat="1" ht="30" customHeight="1">
      <c r="B86" s="108"/>
      <c r="C86" s="63" t="s">
        <v>931</v>
      </c>
      <c r="D86" s="21"/>
      <c r="E86" s="93"/>
      <c r="F86" s="93"/>
      <c r="G86" s="93"/>
      <c r="H86" s="93"/>
      <c r="I86" s="93"/>
      <c r="J86" s="93"/>
      <c r="K86" s="93"/>
      <c r="L86" s="93"/>
      <c r="M86" s="93"/>
      <c r="N86" s="209"/>
      <c r="O86" s="209"/>
      <c r="P86" s="209"/>
      <c r="Q86" s="111"/>
      <c r="S86" s="367"/>
      <c r="T86" s="1265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70"/>
    </row>
    <row r="87" spans="2:33" s="112" customFormat="1" ht="30" customHeight="1">
      <c r="B87" s="108"/>
      <c r="C87" s="1394" t="s">
        <v>1125</v>
      </c>
      <c r="D87" s="1395"/>
      <c r="E87" s="1384"/>
      <c r="F87" s="1385"/>
      <c r="G87" s="1382" t="s">
        <v>1134</v>
      </c>
      <c r="H87" s="1383"/>
      <c r="I87" s="1382" t="s">
        <v>1135</v>
      </c>
      <c r="J87" s="1383"/>
      <c r="K87" s="829"/>
      <c r="L87" s="829"/>
      <c r="M87" s="829"/>
      <c r="N87" s="209"/>
      <c r="O87" s="209"/>
      <c r="P87" s="209"/>
      <c r="Q87" s="111"/>
      <c r="S87" s="367"/>
      <c r="T87" s="1265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70"/>
    </row>
    <row r="88" spans="2:33" ht="22.5" customHeight="1">
      <c r="B88" s="114"/>
      <c r="C88" s="1392" t="s">
        <v>1126</v>
      </c>
      <c r="D88" s="1393"/>
      <c r="E88" s="1386" t="s">
        <v>663</v>
      </c>
      <c r="F88" s="1378"/>
      <c r="G88" s="829">
        <f>ejercicio-1</f>
        <v>2019</v>
      </c>
      <c r="H88" s="829">
        <f>ejercicio</f>
        <v>2020</v>
      </c>
      <c r="I88" s="829">
        <f>ejercicio-1</f>
        <v>2019</v>
      </c>
      <c r="J88" s="829">
        <f>ejercicio</f>
        <v>2020</v>
      </c>
      <c r="K88" s="829" t="s">
        <v>665</v>
      </c>
      <c r="L88" s="829" t="s">
        <v>667</v>
      </c>
      <c r="M88" s="829" t="s">
        <v>666</v>
      </c>
      <c r="N88" s="209"/>
      <c r="O88" s="209"/>
      <c r="P88" s="209"/>
      <c r="Q88" s="103"/>
      <c r="S88" s="367"/>
      <c r="T88" s="1265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70"/>
    </row>
    <row r="89" spans="2:33" ht="22.5" customHeight="1">
      <c r="B89" s="114"/>
      <c r="C89" s="910"/>
      <c r="D89" s="503"/>
      <c r="E89" s="1397"/>
      <c r="F89" s="1398"/>
      <c r="G89" s="428"/>
      <c r="H89" s="455"/>
      <c r="I89" s="821"/>
      <c r="J89" s="821"/>
      <c r="K89" s="771"/>
      <c r="L89" s="771"/>
      <c r="M89" s="772"/>
      <c r="N89" s="209"/>
      <c r="O89" s="209"/>
      <c r="P89" s="209"/>
      <c r="Q89" s="103"/>
      <c r="S89" s="367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70"/>
    </row>
    <row r="90" spans="2:33" ht="22.5" customHeight="1">
      <c r="B90" s="114"/>
      <c r="C90" s="504"/>
      <c r="D90" s="505"/>
      <c r="E90" s="1404"/>
      <c r="F90" s="1405"/>
      <c r="G90" s="439"/>
      <c r="H90" s="457"/>
      <c r="I90" s="822"/>
      <c r="J90" s="822"/>
      <c r="K90" s="773"/>
      <c r="L90" s="773"/>
      <c r="M90" s="774"/>
      <c r="N90" s="209"/>
      <c r="O90" s="209"/>
      <c r="P90" s="209"/>
      <c r="Q90" s="103"/>
      <c r="S90" s="367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70"/>
    </row>
    <row r="91" spans="2:33" ht="22.5" customHeight="1">
      <c r="B91" s="114"/>
      <c r="C91" s="504"/>
      <c r="D91" s="505"/>
      <c r="E91" s="1406"/>
      <c r="F91" s="1407"/>
      <c r="G91" s="439"/>
      <c r="H91" s="457"/>
      <c r="I91" s="822"/>
      <c r="J91" s="822"/>
      <c r="K91" s="773"/>
      <c r="L91" s="773"/>
      <c r="M91" s="774"/>
      <c r="N91" s="851"/>
      <c r="O91" s="851"/>
      <c r="P91" s="851"/>
      <c r="Q91" s="103"/>
      <c r="S91" s="367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70"/>
    </row>
    <row r="92" spans="2:33" ht="22.5" customHeight="1">
      <c r="B92" s="114"/>
      <c r="C92" s="504"/>
      <c r="D92" s="505"/>
      <c r="E92" s="1406"/>
      <c r="F92" s="1407"/>
      <c r="G92" s="439"/>
      <c r="H92" s="457"/>
      <c r="I92" s="822"/>
      <c r="J92" s="822"/>
      <c r="K92" s="773"/>
      <c r="L92" s="773"/>
      <c r="M92" s="774"/>
      <c r="N92" s="851"/>
      <c r="O92" s="851"/>
      <c r="P92" s="851"/>
      <c r="Q92" s="103"/>
      <c r="S92" s="367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70"/>
    </row>
    <row r="93" spans="2:33" ht="22.5" customHeight="1">
      <c r="B93" s="114"/>
      <c r="C93" s="504"/>
      <c r="D93" s="505"/>
      <c r="E93" s="1406"/>
      <c r="F93" s="1407"/>
      <c r="G93" s="432"/>
      <c r="H93" s="458"/>
      <c r="I93" s="823"/>
      <c r="J93" s="823"/>
      <c r="K93" s="775"/>
      <c r="L93" s="775"/>
      <c r="M93" s="776"/>
      <c r="N93" s="851"/>
      <c r="O93" s="851"/>
      <c r="P93" s="851"/>
      <c r="Q93" s="103"/>
      <c r="S93" s="367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70"/>
    </row>
    <row r="94" spans="2:33" ht="22.5" customHeight="1">
      <c r="B94" s="114"/>
      <c r="C94" s="504"/>
      <c r="D94" s="505"/>
      <c r="E94" s="1406"/>
      <c r="F94" s="1407"/>
      <c r="G94" s="432"/>
      <c r="H94" s="458"/>
      <c r="I94" s="823"/>
      <c r="J94" s="823"/>
      <c r="K94" s="775"/>
      <c r="L94" s="775"/>
      <c r="M94" s="776"/>
      <c r="N94" s="851"/>
      <c r="O94" s="851"/>
      <c r="P94" s="851"/>
      <c r="Q94" s="103"/>
      <c r="S94" s="367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70"/>
    </row>
    <row r="95" spans="2:33" ht="22.5" customHeight="1">
      <c r="B95" s="114"/>
      <c r="C95" s="504"/>
      <c r="D95" s="505"/>
      <c r="E95" s="1404"/>
      <c r="F95" s="1405"/>
      <c r="G95" s="432"/>
      <c r="H95" s="458"/>
      <c r="I95" s="823"/>
      <c r="J95" s="823"/>
      <c r="K95" s="775"/>
      <c r="L95" s="775"/>
      <c r="M95" s="776"/>
      <c r="N95" s="851"/>
      <c r="O95" s="851"/>
      <c r="P95" s="851"/>
      <c r="Q95" s="103"/>
      <c r="S95" s="367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70"/>
    </row>
    <row r="96" spans="2:33" ht="22.5" customHeight="1">
      <c r="B96" s="114"/>
      <c r="C96" s="504"/>
      <c r="D96" s="505"/>
      <c r="E96" s="1404"/>
      <c r="F96" s="1405"/>
      <c r="G96" s="441"/>
      <c r="H96" s="459"/>
      <c r="I96" s="824"/>
      <c r="J96" s="824"/>
      <c r="K96" s="777"/>
      <c r="L96" s="777"/>
      <c r="M96" s="778"/>
      <c r="N96" s="851"/>
      <c r="O96" s="851"/>
      <c r="P96" s="851"/>
      <c r="Q96" s="103"/>
      <c r="S96" s="367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70"/>
    </row>
    <row r="97" spans="2:33" ht="22.5" customHeight="1">
      <c r="B97" s="114"/>
      <c r="C97" s="504"/>
      <c r="D97" s="505"/>
      <c r="E97" s="1404"/>
      <c r="F97" s="1405"/>
      <c r="G97" s="441"/>
      <c r="H97" s="459"/>
      <c r="I97" s="824"/>
      <c r="J97" s="824"/>
      <c r="K97" s="777"/>
      <c r="L97" s="777"/>
      <c r="M97" s="778"/>
      <c r="N97" s="851"/>
      <c r="O97" s="851"/>
      <c r="P97" s="851"/>
      <c r="Q97" s="103"/>
      <c r="S97" s="367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70"/>
    </row>
    <row r="98" spans="2:33" ht="22.5" customHeight="1">
      <c r="B98" s="114"/>
      <c r="C98" s="506"/>
      <c r="D98" s="507"/>
      <c r="E98" s="1408"/>
      <c r="F98" s="1409"/>
      <c r="G98" s="436"/>
      <c r="H98" s="460"/>
      <c r="I98" s="825"/>
      <c r="J98" s="825"/>
      <c r="K98" s="779"/>
      <c r="L98" s="779"/>
      <c r="M98" s="780"/>
      <c r="N98" s="851"/>
      <c r="O98" s="851"/>
      <c r="P98" s="851"/>
      <c r="Q98" s="103"/>
      <c r="S98" s="367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70"/>
    </row>
    <row r="99" spans="2:33" ht="22.5" customHeight="1" thickBot="1">
      <c r="B99" s="114"/>
      <c r="C99" s="1399" t="s">
        <v>668</v>
      </c>
      <c r="D99" s="1400"/>
      <c r="E99" s="1400"/>
      <c r="F99" s="1401"/>
      <c r="G99" s="124">
        <f>SUM(G89:G98)</f>
        <v>0</v>
      </c>
      <c r="H99" s="124">
        <f>SUM(H89:H98)</f>
        <v>0</v>
      </c>
      <c r="I99" s="124">
        <f>SUM(I89:I98)</f>
        <v>0</v>
      </c>
      <c r="J99" s="124">
        <f>SUM(J89:J98)</f>
        <v>0</v>
      </c>
      <c r="K99" s="205"/>
      <c r="L99" s="145"/>
      <c r="M99" s="145"/>
      <c r="N99" s="145"/>
      <c r="O99" s="145"/>
      <c r="P99" s="145"/>
      <c r="Q99" s="103"/>
      <c r="S99" s="367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70"/>
    </row>
    <row r="100" spans="2:33" ht="22.5" customHeight="1">
      <c r="B100" s="114"/>
      <c r="C100" s="206"/>
      <c r="D100" s="206"/>
      <c r="E100" s="207"/>
      <c r="F100" s="207"/>
      <c r="G100" s="208"/>
      <c r="H100" s="208"/>
      <c r="I100" s="208"/>
      <c r="J100" s="208"/>
      <c r="K100" s="207"/>
      <c r="L100" s="207"/>
      <c r="M100" s="209"/>
      <c r="N100" s="209"/>
      <c r="O100" s="209"/>
      <c r="P100" s="209"/>
      <c r="Q100" s="103"/>
      <c r="S100" s="367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70"/>
    </row>
    <row r="101" spans="2:33" s="112" customFormat="1" ht="30" customHeight="1">
      <c r="B101" s="108"/>
      <c r="C101" s="63" t="s">
        <v>1155</v>
      </c>
      <c r="D101" s="21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111"/>
      <c r="S101" s="367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70"/>
    </row>
    <row r="102" spans="2:33" ht="22.5" customHeight="1">
      <c r="B102" s="114"/>
      <c r="C102" s="1360" t="s">
        <v>1125</v>
      </c>
      <c r="D102" s="1362"/>
      <c r="E102" s="1382" t="s">
        <v>663</v>
      </c>
      <c r="F102" s="1383"/>
      <c r="G102" s="829">
        <f>ejercicio-1</f>
        <v>2019</v>
      </c>
      <c r="H102" s="829">
        <f>ejercicio</f>
        <v>2020</v>
      </c>
      <c r="I102" s="829" t="s">
        <v>665</v>
      </c>
      <c r="J102" s="829" t="s">
        <v>667</v>
      </c>
      <c r="K102" s="829" t="s">
        <v>666</v>
      </c>
      <c r="L102" s="94"/>
      <c r="M102" s="94"/>
      <c r="N102" s="94"/>
      <c r="O102" s="94"/>
      <c r="P102" s="94"/>
      <c r="Q102" s="103"/>
      <c r="S102" s="367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70"/>
    </row>
    <row r="103" spans="2:33" ht="22.5" customHeight="1">
      <c r="B103" s="114"/>
      <c r="C103" s="502"/>
      <c r="D103" s="503"/>
      <c r="E103" s="1404"/>
      <c r="F103" s="1405"/>
      <c r="G103" s="428"/>
      <c r="H103" s="455"/>
      <c r="I103" s="771"/>
      <c r="J103" s="771"/>
      <c r="K103" s="772"/>
      <c r="L103" s="94"/>
      <c r="M103" s="94"/>
      <c r="N103" s="94"/>
      <c r="O103" s="94"/>
      <c r="P103" s="94"/>
      <c r="Q103" s="103"/>
      <c r="S103" s="367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70"/>
    </row>
    <row r="104" spans="2:33" ht="22.5" customHeight="1">
      <c r="B104" s="114"/>
      <c r="C104" s="504"/>
      <c r="D104" s="505"/>
      <c r="E104" s="1404"/>
      <c r="F104" s="1405"/>
      <c r="G104" s="439"/>
      <c r="H104" s="457"/>
      <c r="I104" s="773"/>
      <c r="J104" s="773"/>
      <c r="K104" s="774"/>
      <c r="L104" s="94"/>
      <c r="M104" s="94"/>
      <c r="N104" s="94"/>
      <c r="O104" s="94"/>
      <c r="P104" s="94"/>
      <c r="Q104" s="103"/>
      <c r="S104" s="367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70"/>
    </row>
    <row r="105" spans="2:33" ht="22.5" customHeight="1">
      <c r="B105" s="114"/>
      <c r="C105" s="504"/>
      <c r="D105" s="505"/>
      <c r="E105" s="1404"/>
      <c r="F105" s="1405"/>
      <c r="G105" s="439"/>
      <c r="H105" s="457"/>
      <c r="I105" s="773"/>
      <c r="J105" s="773"/>
      <c r="K105" s="774"/>
      <c r="L105" s="94"/>
      <c r="M105" s="94"/>
      <c r="N105" s="94"/>
      <c r="O105" s="94"/>
      <c r="P105" s="94"/>
      <c r="Q105" s="103"/>
      <c r="S105" s="367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70"/>
    </row>
    <row r="106" spans="2:33" ht="22.5" customHeight="1">
      <c r="B106" s="114"/>
      <c r="C106" s="504"/>
      <c r="D106" s="505"/>
      <c r="E106" s="1404"/>
      <c r="F106" s="1405"/>
      <c r="G106" s="439"/>
      <c r="H106" s="457"/>
      <c r="I106" s="773"/>
      <c r="J106" s="773"/>
      <c r="K106" s="774"/>
      <c r="L106" s="94"/>
      <c r="M106" s="94"/>
      <c r="N106" s="94"/>
      <c r="O106" s="94"/>
      <c r="P106" s="94"/>
      <c r="Q106" s="103"/>
      <c r="S106" s="367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70"/>
    </row>
    <row r="107" spans="2:33" ht="22.5" customHeight="1">
      <c r="B107" s="114"/>
      <c r="C107" s="504"/>
      <c r="D107" s="505"/>
      <c r="E107" s="1404"/>
      <c r="F107" s="1405"/>
      <c r="G107" s="432"/>
      <c r="H107" s="458"/>
      <c r="I107" s="775"/>
      <c r="J107" s="775"/>
      <c r="K107" s="776"/>
      <c r="L107" s="94"/>
      <c r="M107" s="94"/>
      <c r="N107" s="94"/>
      <c r="O107" s="94"/>
      <c r="P107" s="94"/>
      <c r="Q107" s="103"/>
      <c r="S107" s="367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70"/>
    </row>
    <row r="108" spans="2:33" ht="22.5" customHeight="1">
      <c r="B108" s="114"/>
      <c r="C108" s="504"/>
      <c r="D108" s="505"/>
      <c r="E108" s="1404"/>
      <c r="F108" s="1405"/>
      <c r="G108" s="432"/>
      <c r="H108" s="458"/>
      <c r="I108" s="775"/>
      <c r="J108" s="775"/>
      <c r="K108" s="776"/>
      <c r="L108" s="94"/>
      <c r="M108" s="94"/>
      <c r="N108" s="94"/>
      <c r="O108" s="94"/>
      <c r="P108" s="94"/>
      <c r="Q108" s="103"/>
      <c r="S108" s="367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70"/>
    </row>
    <row r="109" spans="2:33" ht="22.5" customHeight="1">
      <c r="B109" s="114"/>
      <c r="C109" s="504"/>
      <c r="D109" s="505"/>
      <c r="E109" s="1404"/>
      <c r="F109" s="1405"/>
      <c r="G109" s="432"/>
      <c r="H109" s="458"/>
      <c r="I109" s="775"/>
      <c r="J109" s="775"/>
      <c r="K109" s="776"/>
      <c r="L109" s="94"/>
      <c r="M109" s="94"/>
      <c r="N109" s="94"/>
      <c r="O109" s="94"/>
      <c r="P109" s="94"/>
      <c r="Q109" s="103"/>
      <c r="S109" s="367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70"/>
    </row>
    <row r="110" spans="2:33" ht="22.5" customHeight="1">
      <c r="B110" s="114"/>
      <c r="C110" s="504"/>
      <c r="D110" s="505"/>
      <c r="E110" s="1404"/>
      <c r="F110" s="1405"/>
      <c r="G110" s="441"/>
      <c r="H110" s="459"/>
      <c r="I110" s="777"/>
      <c r="J110" s="777"/>
      <c r="K110" s="778"/>
      <c r="L110" s="94"/>
      <c r="M110" s="94"/>
      <c r="N110" s="94"/>
      <c r="O110" s="94"/>
      <c r="P110" s="94"/>
      <c r="Q110" s="103"/>
      <c r="S110" s="367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70"/>
    </row>
    <row r="111" spans="2:33" ht="22.5" customHeight="1">
      <c r="B111" s="114"/>
      <c r="C111" s="504"/>
      <c r="D111" s="505"/>
      <c r="E111" s="1404"/>
      <c r="F111" s="1405"/>
      <c r="G111" s="441"/>
      <c r="H111" s="459"/>
      <c r="I111" s="777"/>
      <c r="J111" s="777"/>
      <c r="K111" s="778"/>
      <c r="L111" s="94"/>
      <c r="M111" s="94"/>
      <c r="N111" s="94"/>
      <c r="O111" s="94"/>
      <c r="P111" s="94"/>
      <c r="Q111" s="103"/>
      <c r="S111" s="367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70"/>
    </row>
    <row r="112" spans="2:33" ht="22.5" customHeight="1">
      <c r="B112" s="114"/>
      <c r="C112" s="506"/>
      <c r="D112" s="507"/>
      <c r="E112" s="1404"/>
      <c r="F112" s="1405"/>
      <c r="G112" s="436"/>
      <c r="H112" s="460"/>
      <c r="I112" s="779"/>
      <c r="J112" s="779"/>
      <c r="K112" s="780"/>
      <c r="L112" s="94"/>
      <c r="M112" s="94"/>
      <c r="N112" s="94"/>
      <c r="O112" s="94"/>
      <c r="P112" s="94"/>
      <c r="Q112" s="103"/>
      <c r="S112" s="367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70"/>
    </row>
    <row r="113" spans="2:33" ht="22.5" customHeight="1" thickBot="1">
      <c r="B113" s="114"/>
      <c r="C113" s="1399" t="s">
        <v>1156</v>
      </c>
      <c r="D113" s="1400"/>
      <c r="E113" s="1400"/>
      <c r="F113" s="1401"/>
      <c r="G113" s="124">
        <f>SUM(G103:G112)</f>
        <v>0</v>
      </c>
      <c r="H113" s="124">
        <f>SUM(H103:H112)</f>
        <v>0</v>
      </c>
      <c r="I113" s="93"/>
      <c r="J113" s="93"/>
      <c r="K113" s="163"/>
      <c r="L113" s="145"/>
      <c r="M113" s="145"/>
      <c r="N113" s="145"/>
      <c r="O113" s="145"/>
      <c r="P113" s="145"/>
      <c r="Q113" s="103"/>
      <c r="S113" s="367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70"/>
    </row>
    <row r="114" spans="2:33" ht="22.5" customHeight="1">
      <c r="B114" s="114"/>
      <c r="C114" s="206"/>
      <c r="D114" s="206"/>
      <c r="E114" s="207"/>
      <c r="F114" s="207"/>
      <c r="G114" s="208"/>
      <c r="H114" s="208"/>
      <c r="I114" s="208"/>
      <c r="J114" s="208"/>
      <c r="K114" s="208"/>
      <c r="L114" s="93"/>
      <c r="M114" s="93"/>
      <c r="N114" s="163"/>
      <c r="O114" s="207"/>
      <c r="P114" s="209"/>
      <c r="Q114" s="103"/>
      <c r="S114" s="367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70"/>
    </row>
    <row r="115" spans="2:33" ht="22.5" customHeight="1">
      <c r="B115" s="114"/>
      <c r="C115" s="164" t="s">
        <v>1128</v>
      </c>
      <c r="D115" s="162"/>
      <c r="E115" s="163"/>
      <c r="F115" s="163"/>
      <c r="G115" s="163"/>
      <c r="H115" s="163"/>
      <c r="I115" s="163"/>
      <c r="J115" s="163"/>
      <c r="K115" s="163"/>
      <c r="L115" s="93"/>
      <c r="M115" s="93"/>
      <c r="N115" s="163"/>
      <c r="O115" s="163"/>
      <c r="P115" s="93"/>
      <c r="Q115" s="103"/>
      <c r="S115" s="367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70"/>
    </row>
    <row r="116" spans="2:33" ht="18">
      <c r="B116" s="114"/>
      <c r="C116" s="815"/>
      <c r="D116" s="815"/>
      <c r="E116" s="816"/>
      <c r="F116" s="816"/>
      <c r="G116" s="816"/>
      <c r="H116" s="816"/>
      <c r="I116" s="816"/>
      <c r="J116" s="816"/>
      <c r="K116" s="816"/>
      <c r="L116" s="816"/>
      <c r="M116" s="816"/>
      <c r="N116" s="816"/>
      <c r="O116" s="816"/>
      <c r="P116" s="817"/>
      <c r="Q116" s="103"/>
      <c r="S116" s="367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70"/>
    </row>
    <row r="117" spans="2:33" ht="18">
      <c r="B117" s="114"/>
      <c r="C117" s="818"/>
      <c r="D117" s="818"/>
      <c r="E117" s="819"/>
      <c r="F117" s="819"/>
      <c r="G117" s="819"/>
      <c r="H117" s="819"/>
      <c r="I117" s="819"/>
      <c r="J117" s="819"/>
      <c r="K117" s="819"/>
      <c r="L117" s="819"/>
      <c r="M117" s="819"/>
      <c r="N117" s="819"/>
      <c r="O117" s="819"/>
      <c r="P117" s="820"/>
      <c r="Q117" s="103"/>
      <c r="S117" s="367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70"/>
    </row>
    <row r="118" spans="2:33" ht="18">
      <c r="B118" s="114"/>
      <c r="C118" s="818"/>
      <c r="D118" s="818"/>
      <c r="E118" s="819"/>
      <c r="F118" s="819"/>
      <c r="G118" s="819"/>
      <c r="H118" s="819"/>
      <c r="I118" s="819"/>
      <c r="J118" s="819"/>
      <c r="K118" s="819"/>
      <c r="L118" s="819"/>
      <c r="M118" s="819"/>
      <c r="N118" s="819"/>
      <c r="O118" s="819"/>
      <c r="P118" s="820"/>
      <c r="Q118" s="103"/>
      <c r="S118" s="367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70"/>
    </row>
    <row r="119" spans="2:33" ht="18">
      <c r="B119" s="114"/>
      <c r="C119" s="818"/>
      <c r="D119" s="818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20"/>
      <c r="Q119" s="103"/>
      <c r="S119" s="367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70"/>
    </row>
    <row r="120" spans="2:33" ht="18">
      <c r="B120" s="114"/>
      <c r="C120" s="818"/>
      <c r="D120" s="818"/>
      <c r="E120" s="819"/>
      <c r="F120" s="819"/>
      <c r="G120" s="819"/>
      <c r="H120" s="819"/>
      <c r="I120" s="819"/>
      <c r="J120" s="819"/>
      <c r="K120" s="819"/>
      <c r="L120" s="819"/>
      <c r="M120" s="819"/>
      <c r="N120" s="819"/>
      <c r="O120" s="819"/>
      <c r="P120" s="820"/>
      <c r="Q120" s="103"/>
      <c r="S120" s="367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70"/>
    </row>
    <row r="121" spans="2:33" ht="18">
      <c r="B121" s="114"/>
      <c r="C121" s="818"/>
      <c r="D121" s="818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20"/>
      <c r="Q121" s="103"/>
      <c r="S121" s="367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70"/>
    </row>
    <row r="122" spans="2:33" ht="18">
      <c r="B122" s="114"/>
      <c r="C122" s="818"/>
      <c r="D122" s="818"/>
      <c r="E122" s="819"/>
      <c r="F122" s="819"/>
      <c r="G122" s="819"/>
      <c r="H122" s="819"/>
      <c r="I122" s="819"/>
      <c r="J122" s="819"/>
      <c r="K122" s="819"/>
      <c r="L122" s="819"/>
      <c r="M122" s="819"/>
      <c r="N122" s="819"/>
      <c r="O122" s="819"/>
      <c r="P122" s="820"/>
      <c r="Q122" s="103"/>
      <c r="S122" s="367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70"/>
    </row>
    <row r="123" spans="2:33" ht="18">
      <c r="B123" s="114"/>
      <c r="C123" s="818"/>
      <c r="D123" s="818"/>
      <c r="E123" s="819"/>
      <c r="F123" s="819"/>
      <c r="G123" s="819"/>
      <c r="H123" s="819"/>
      <c r="I123" s="819"/>
      <c r="J123" s="819"/>
      <c r="K123" s="819"/>
      <c r="L123" s="819"/>
      <c r="M123" s="819"/>
      <c r="N123" s="819"/>
      <c r="O123" s="819"/>
      <c r="P123" s="820"/>
      <c r="Q123" s="103"/>
      <c r="S123" s="367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70"/>
    </row>
    <row r="124" spans="2:33" ht="18">
      <c r="B124" s="114"/>
      <c r="C124" s="818"/>
      <c r="D124" s="818"/>
      <c r="E124" s="819"/>
      <c r="F124" s="819"/>
      <c r="G124" s="819"/>
      <c r="H124" s="819"/>
      <c r="I124" s="819"/>
      <c r="J124" s="819"/>
      <c r="K124" s="819"/>
      <c r="L124" s="819"/>
      <c r="M124" s="819"/>
      <c r="N124" s="819"/>
      <c r="O124" s="819"/>
      <c r="P124" s="820"/>
      <c r="Q124" s="103"/>
      <c r="S124" s="367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70"/>
    </row>
    <row r="125" spans="2:33" ht="18">
      <c r="B125" s="114"/>
      <c r="C125" s="818"/>
      <c r="D125" s="818"/>
      <c r="E125" s="819"/>
      <c r="F125" s="819"/>
      <c r="G125" s="819"/>
      <c r="H125" s="819"/>
      <c r="I125" s="819"/>
      <c r="J125" s="819"/>
      <c r="K125" s="819"/>
      <c r="L125" s="819"/>
      <c r="M125" s="819"/>
      <c r="N125" s="819"/>
      <c r="O125" s="819"/>
      <c r="P125" s="820"/>
      <c r="Q125" s="103"/>
      <c r="S125" s="367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70"/>
    </row>
    <row r="126" spans="2:33" s="557" customFormat="1" ht="18">
      <c r="B126" s="580"/>
      <c r="C126" s="636" t="s">
        <v>1129</v>
      </c>
      <c r="D126" s="1196"/>
      <c r="E126" s="638"/>
      <c r="F126" s="638"/>
      <c r="G126" s="638"/>
      <c r="H126" s="638"/>
      <c r="I126" s="638"/>
      <c r="J126" s="638"/>
      <c r="K126" s="638"/>
      <c r="L126" s="638"/>
      <c r="M126" s="638"/>
      <c r="N126" s="638"/>
      <c r="O126" s="638"/>
      <c r="P126" s="578"/>
      <c r="Q126" s="568"/>
      <c r="S126" s="915"/>
      <c r="T126" s="917"/>
      <c r="U126" s="917"/>
      <c r="V126" s="917"/>
      <c r="W126" s="917"/>
      <c r="X126" s="917"/>
      <c r="Y126" s="917"/>
      <c r="Z126" s="917"/>
      <c r="AA126" s="917"/>
      <c r="AB126" s="917"/>
      <c r="AC126" s="917"/>
      <c r="AD126" s="917"/>
      <c r="AE126" s="917"/>
      <c r="AF126" s="917"/>
      <c r="AG126" s="918"/>
    </row>
    <row r="127" spans="2:33" s="557" customFormat="1" ht="18">
      <c r="B127" s="580"/>
      <c r="C127" s="1197" t="s">
        <v>1148</v>
      </c>
      <c r="D127" s="1196"/>
      <c r="E127" s="638"/>
      <c r="F127" s="638"/>
      <c r="G127" s="638"/>
      <c r="H127" s="638"/>
      <c r="I127" s="638"/>
      <c r="J127" s="638"/>
      <c r="K127" s="638"/>
      <c r="L127" s="638"/>
      <c r="M127" s="638"/>
      <c r="N127" s="638"/>
      <c r="O127" s="638"/>
      <c r="P127" s="578"/>
      <c r="Q127" s="568"/>
      <c r="S127" s="915"/>
      <c r="T127" s="917"/>
      <c r="U127" s="917"/>
      <c r="V127" s="917"/>
      <c r="W127" s="917"/>
      <c r="X127" s="917"/>
      <c r="Y127" s="917"/>
      <c r="Z127" s="917"/>
      <c r="AA127" s="917"/>
      <c r="AB127" s="917"/>
      <c r="AC127" s="917"/>
      <c r="AD127" s="917"/>
      <c r="AE127" s="917"/>
      <c r="AF127" s="917"/>
      <c r="AG127" s="918"/>
    </row>
    <row r="128" spans="2:33" s="557" customFormat="1" ht="18">
      <c r="B128" s="580"/>
      <c r="C128" s="1197" t="s">
        <v>1146</v>
      </c>
      <c r="D128" s="1196"/>
      <c r="E128" s="638"/>
      <c r="F128" s="638"/>
      <c r="G128" s="1195">
        <f>ejercicio-1</f>
        <v>2019</v>
      </c>
      <c r="H128" s="638" t="s">
        <v>1147</v>
      </c>
      <c r="I128" s="638"/>
      <c r="J128" s="638"/>
      <c r="K128" s="1195">
        <f>ejercicio</f>
        <v>2020</v>
      </c>
      <c r="L128" s="638"/>
      <c r="M128" s="638"/>
      <c r="N128" s="559"/>
      <c r="O128" s="638"/>
      <c r="P128" s="578"/>
      <c r="Q128" s="568"/>
      <c r="S128" s="915"/>
      <c r="T128" s="917"/>
      <c r="U128" s="917"/>
      <c r="V128" s="917"/>
      <c r="W128" s="917"/>
      <c r="X128" s="917"/>
      <c r="Y128" s="917"/>
      <c r="Z128" s="917"/>
      <c r="AA128" s="917"/>
      <c r="AB128" s="917"/>
      <c r="AC128" s="917"/>
      <c r="AD128" s="917"/>
      <c r="AE128" s="917"/>
      <c r="AF128" s="917"/>
      <c r="AG128" s="918"/>
    </row>
    <row r="129" spans="2:33" s="557" customFormat="1" ht="18">
      <c r="B129" s="580"/>
      <c r="C129" s="1197" t="s">
        <v>1150</v>
      </c>
      <c r="D129" s="1196"/>
      <c r="E129" s="638"/>
      <c r="F129" s="638"/>
      <c r="G129" s="638"/>
      <c r="H129" s="638"/>
      <c r="I129" s="638"/>
      <c r="J129" s="638"/>
      <c r="K129" s="638"/>
      <c r="L129" s="638"/>
      <c r="M129" s="638"/>
      <c r="N129" s="638"/>
      <c r="O129" s="638"/>
      <c r="P129" s="578"/>
      <c r="Q129" s="568"/>
      <c r="S129" s="915"/>
      <c r="T129" s="917"/>
      <c r="U129" s="917"/>
      <c r="V129" s="917"/>
      <c r="W129" s="917"/>
      <c r="X129" s="917"/>
      <c r="Y129" s="917"/>
      <c r="Z129" s="917"/>
      <c r="AA129" s="917"/>
      <c r="AB129" s="917"/>
      <c r="AC129" s="917"/>
      <c r="AD129" s="917"/>
      <c r="AE129" s="917"/>
      <c r="AF129" s="917"/>
      <c r="AG129" s="918"/>
    </row>
    <row r="130" spans="2:33" s="557" customFormat="1" ht="18">
      <c r="B130" s="580"/>
      <c r="C130" s="1196" t="s">
        <v>1149</v>
      </c>
      <c r="D130" s="1196"/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578"/>
      <c r="Q130" s="568"/>
      <c r="S130" s="915"/>
      <c r="T130" s="917"/>
      <c r="U130" s="917"/>
      <c r="V130" s="917"/>
      <c r="W130" s="917"/>
      <c r="X130" s="917"/>
      <c r="Y130" s="917"/>
      <c r="Z130" s="917"/>
      <c r="AA130" s="917"/>
      <c r="AB130" s="917"/>
      <c r="AC130" s="917"/>
      <c r="AD130" s="917"/>
      <c r="AE130" s="917"/>
      <c r="AF130" s="917"/>
      <c r="AG130" s="918"/>
    </row>
    <row r="131" spans="2:33" s="557" customFormat="1" ht="18">
      <c r="B131" s="580"/>
      <c r="C131" s="1197" t="s">
        <v>1151</v>
      </c>
      <c r="D131" s="1196"/>
      <c r="E131" s="638"/>
      <c r="F131" s="638"/>
      <c r="G131" s="638"/>
      <c r="H131" s="638"/>
      <c r="I131" s="638"/>
      <c r="J131" s="638"/>
      <c r="K131" s="638"/>
      <c r="L131" s="638"/>
      <c r="M131" s="638"/>
      <c r="N131" s="638"/>
      <c r="O131" s="638"/>
      <c r="P131" s="578"/>
      <c r="Q131" s="568"/>
      <c r="S131" s="915"/>
      <c r="T131" s="917"/>
      <c r="U131" s="917"/>
      <c r="V131" s="917"/>
      <c r="W131" s="917"/>
      <c r="X131" s="917"/>
      <c r="Y131" s="917"/>
      <c r="Z131" s="917"/>
      <c r="AA131" s="917"/>
      <c r="AB131" s="917"/>
      <c r="AC131" s="917"/>
      <c r="AD131" s="917"/>
      <c r="AE131" s="917"/>
      <c r="AF131" s="917"/>
      <c r="AG131" s="918"/>
    </row>
    <row r="132" spans="2:33" s="557" customFormat="1" ht="18">
      <c r="B132" s="580"/>
      <c r="C132" s="1196" t="s">
        <v>1130</v>
      </c>
      <c r="D132" s="1196"/>
      <c r="E132" s="638"/>
      <c r="F132" s="638"/>
      <c r="G132" s="638"/>
      <c r="H132" s="638"/>
      <c r="I132" s="638"/>
      <c r="J132" s="638"/>
      <c r="K132" s="638"/>
      <c r="L132" s="638"/>
      <c r="M132" s="638"/>
      <c r="N132" s="638"/>
      <c r="O132" s="638"/>
      <c r="P132" s="578"/>
      <c r="Q132" s="568"/>
      <c r="S132" s="915"/>
      <c r="T132" s="917"/>
      <c r="U132" s="917"/>
      <c r="V132" s="917"/>
      <c r="W132" s="917"/>
      <c r="X132" s="917"/>
      <c r="Y132" s="917"/>
      <c r="Z132" s="917"/>
      <c r="AA132" s="917"/>
      <c r="AB132" s="917"/>
      <c r="AC132" s="917"/>
      <c r="AD132" s="917"/>
      <c r="AE132" s="917"/>
      <c r="AF132" s="917"/>
      <c r="AG132" s="918"/>
    </row>
    <row r="133" spans="2:33" s="557" customFormat="1" ht="18">
      <c r="B133" s="580"/>
      <c r="C133" s="1196" t="s">
        <v>1157</v>
      </c>
      <c r="D133" s="1196"/>
      <c r="E133" s="638"/>
      <c r="F133" s="638"/>
      <c r="G133" s="638"/>
      <c r="H133" s="638"/>
      <c r="I133" s="638"/>
      <c r="J133" s="638"/>
      <c r="K133" s="638"/>
      <c r="L133" s="638"/>
      <c r="M133" s="638"/>
      <c r="N133" s="638"/>
      <c r="O133" s="638"/>
      <c r="P133" s="578"/>
      <c r="Q133" s="568"/>
      <c r="S133" s="915"/>
      <c r="T133" s="917"/>
      <c r="U133" s="917"/>
      <c r="V133" s="917"/>
      <c r="W133" s="917"/>
      <c r="X133" s="917"/>
      <c r="Y133" s="917"/>
      <c r="Z133" s="917"/>
      <c r="AA133" s="917"/>
      <c r="AB133" s="917"/>
      <c r="AC133" s="917"/>
      <c r="AD133" s="917"/>
      <c r="AE133" s="917"/>
      <c r="AF133" s="917"/>
      <c r="AG133" s="918"/>
    </row>
    <row r="134" spans="2:33" s="557" customFormat="1" ht="18">
      <c r="B134" s="580"/>
      <c r="C134" s="1196" t="s">
        <v>1131</v>
      </c>
      <c r="D134" s="1196"/>
      <c r="E134" s="638"/>
      <c r="F134" s="638"/>
      <c r="G134" s="638"/>
      <c r="H134" s="638"/>
      <c r="I134" s="638"/>
      <c r="J134" s="638"/>
      <c r="K134" s="638"/>
      <c r="L134" s="638"/>
      <c r="M134" s="638"/>
      <c r="N134" s="638"/>
      <c r="O134" s="638"/>
      <c r="P134" s="578"/>
      <c r="Q134" s="568"/>
      <c r="S134" s="915"/>
      <c r="T134" s="917"/>
      <c r="U134" s="917"/>
      <c r="V134" s="917"/>
      <c r="W134" s="917"/>
      <c r="X134" s="917"/>
      <c r="Y134" s="917"/>
      <c r="Z134" s="917"/>
      <c r="AA134" s="917"/>
      <c r="AB134" s="917"/>
      <c r="AC134" s="917"/>
      <c r="AD134" s="917"/>
      <c r="AE134" s="917"/>
      <c r="AF134" s="917"/>
      <c r="AG134" s="918"/>
    </row>
    <row r="135" spans="2:33" s="557" customFormat="1" ht="18">
      <c r="B135" s="580"/>
      <c r="C135" s="1197" t="s">
        <v>1152</v>
      </c>
      <c r="D135" s="1196"/>
      <c r="E135" s="638"/>
      <c r="F135" s="638"/>
      <c r="G135" s="638"/>
      <c r="H135" s="638"/>
      <c r="I135" s="638"/>
      <c r="J135" s="638"/>
      <c r="K135" s="638"/>
      <c r="L135" s="638"/>
      <c r="M135" s="638"/>
      <c r="N135" s="638"/>
      <c r="O135" s="638"/>
      <c r="P135" s="578"/>
      <c r="Q135" s="568"/>
      <c r="S135" s="915"/>
      <c r="T135" s="917"/>
      <c r="U135" s="917"/>
      <c r="V135" s="917"/>
      <c r="W135" s="917"/>
      <c r="X135" s="917"/>
      <c r="Y135" s="917"/>
      <c r="Z135" s="917"/>
      <c r="AA135" s="917"/>
      <c r="AB135" s="917"/>
      <c r="AC135" s="917"/>
      <c r="AD135" s="917"/>
      <c r="AE135" s="917"/>
      <c r="AF135" s="917"/>
      <c r="AG135" s="918"/>
    </row>
    <row r="136" spans="2:33" s="557" customFormat="1" ht="18">
      <c r="B136" s="580"/>
      <c r="C136" s="1197" t="s">
        <v>1159</v>
      </c>
      <c r="D136" s="1196"/>
      <c r="E136" s="638"/>
      <c r="F136" s="638"/>
      <c r="G136" s="638"/>
      <c r="H136" s="638"/>
      <c r="I136" s="638"/>
      <c r="J136" s="638"/>
      <c r="K136" s="638"/>
      <c r="L136" s="638"/>
      <c r="M136" s="638"/>
      <c r="N136" s="638"/>
      <c r="O136" s="638"/>
      <c r="P136" s="578"/>
      <c r="Q136" s="568"/>
      <c r="S136" s="915"/>
      <c r="T136" s="917"/>
      <c r="U136" s="917"/>
      <c r="V136" s="917"/>
      <c r="W136" s="917"/>
      <c r="X136" s="917"/>
      <c r="Y136" s="917"/>
      <c r="Z136" s="917"/>
      <c r="AA136" s="917"/>
      <c r="AB136" s="917"/>
      <c r="AC136" s="917"/>
      <c r="AD136" s="917"/>
      <c r="AE136" s="917"/>
      <c r="AF136" s="917"/>
      <c r="AG136" s="918"/>
    </row>
    <row r="137" spans="2:33" s="557" customFormat="1" ht="18">
      <c r="B137" s="580"/>
      <c r="C137" s="1196" t="s">
        <v>1136</v>
      </c>
      <c r="D137" s="1196"/>
      <c r="E137" s="638"/>
      <c r="F137" s="638"/>
      <c r="G137" s="638"/>
      <c r="H137" s="638"/>
      <c r="I137" s="638"/>
      <c r="J137" s="638"/>
      <c r="K137" s="638"/>
      <c r="L137" s="638"/>
      <c r="M137" s="638"/>
      <c r="N137" s="638"/>
      <c r="O137" s="638"/>
      <c r="P137" s="578"/>
      <c r="Q137" s="568"/>
      <c r="S137" s="915"/>
      <c r="T137" s="917"/>
      <c r="U137" s="917"/>
      <c r="V137" s="917"/>
      <c r="W137" s="917"/>
      <c r="X137" s="917"/>
      <c r="Y137" s="917"/>
      <c r="Z137" s="917"/>
      <c r="AA137" s="917"/>
      <c r="AB137" s="917"/>
      <c r="AC137" s="917"/>
      <c r="AD137" s="917"/>
      <c r="AE137" s="917"/>
      <c r="AF137" s="917"/>
      <c r="AG137" s="918"/>
    </row>
    <row r="138" spans="2:33" s="557" customFormat="1" ht="18">
      <c r="B138" s="580"/>
      <c r="C138" s="1197" t="s">
        <v>1153</v>
      </c>
      <c r="D138" s="1196"/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578"/>
      <c r="Q138" s="568"/>
      <c r="S138" s="915"/>
      <c r="T138" s="917"/>
      <c r="U138" s="917"/>
      <c r="V138" s="917"/>
      <c r="W138" s="917"/>
      <c r="X138" s="917"/>
      <c r="Y138" s="917"/>
      <c r="Z138" s="917"/>
      <c r="AA138" s="917"/>
      <c r="AB138" s="917"/>
      <c r="AC138" s="917"/>
      <c r="AD138" s="917"/>
      <c r="AE138" s="917"/>
      <c r="AF138" s="917"/>
      <c r="AG138" s="918"/>
    </row>
    <row r="139" spans="2:33" s="1203" customFormat="1" ht="18">
      <c r="B139" s="1198"/>
      <c r="C139" s="1199" t="s">
        <v>1158</v>
      </c>
      <c r="D139" s="1200"/>
      <c r="E139" s="1201"/>
      <c r="F139" s="1201"/>
      <c r="G139" s="1201"/>
      <c r="H139" s="1201"/>
      <c r="I139" s="1201"/>
      <c r="J139" s="1201"/>
      <c r="K139" s="1201"/>
      <c r="L139" s="1201"/>
      <c r="M139" s="1201"/>
      <c r="N139" s="1201"/>
      <c r="O139" s="1201"/>
      <c r="P139" s="1202"/>
      <c r="Q139" s="918"/>
      <c r="S139" s="915"/>
      <c r="T139" s="917"/>
      <c r="U139" s="917"/>
      <c r="V139" s="917"/>
      <c r="W139" s="917"/>
      <c r="X139" s="917"/>
      <c r="Y139" s="917"/>
      <c r="Z139" s="917"/>
      <c r="AA139" s="917"/>
      <c r="AB139" s="917"/>
      <c r="AC139" s="917"/>
      <c r="AD139" s="917"/>
      <c r="AE139" s="917"/>
      <c r="AF139" s="917"/>
      <c r="AG139" s="918"/>
    </row>
    <row r="140" spans="2:33" s="557" customFormat="1" ht="18">
      <c r="B140" s="580"/>
      <c r="C140" s="1196" t="s">
        <v>1137</v>
      </c>
      <c r="D140" s="1196"/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578"/>
      <c r="Q140" s="568"/>
      <c r="S140" s="915"/>
      <c r="T140" s="917"/>
      <c r="U140" s="917"/>
      <c r="V140" s="917"/>
      <c r="W140" s="917"/>
      <c r="X140" s="917"/>
      <c r="Y140" s="917"/>
      <c r="Z140" s="917"/>
      <c r="AA140" s="917"/>
      <c r="AB140" s="917"/>
      <c r="AC140" s="917"/>
      <c r="AD140" s="917"/>
      <c r="AE140" s="917"/>
      <c r="AF140" s="917"/>
      <c r="AG140" s="918"/>
    </row>
    <row r="141" spans="2:33" s="557" customFormat="1" ht="18">
      <c r="B141" s="580"/>
      <c r="C141" s="1197" t="s">
        <v>1154</v>
      </c>
      <c r="D141" s="1196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578"/>
      <c r="Q141" s="568"/>
      <c r="S141" s="915"/>
      <c r="T141" s="917"/>
      <c r="U141" s="917"/>
      <c r="V141" s="917"/>
      <c r="W141" s="917"/>
      <c r="X141" s="917"/>
      <c r="Y141" s="917"/>
      <c r="Z141" s="917"/>
      <c r="AA141" s="917"/>
      <c r="AB141" s="917"/>
      <c r="AC141" s="917"/>
      <c r="AD141" s="917"/>
      <c r="AE141" s="917"/>
      <c r="AF141" s="917"/>
      <c r="AG141" s="918"/>
    </row>
    <row r="142" spans="2:33" s="557" customFormat="1" ht="18">
      <c r="B142" s="580"/>
      <c r="C142" s="1196" t="s">
        <v>1138</v>
      </c>
      <c r="D142" s="1196"/>
      <c r="E142" s="638"/>
      <c r="F142" s="638"/>
      <c r="G142" s="638"/>
      <c r="H142" s="638"/>
      <c r="I142" s="638"/>
      <c r="J142" s="638"/>
      <c r="K142" s="638"/>
      <c r="L142" s="638"/>
      <c r="M142" s="638"/>
      <c r="N142" s="638"/>
      <c r="O142" s="638"/>
      <c r="P142" s="578"/>
      <c r="Q142" s="568"/>
      <c r="S142" s="915"/>
      <c r="T142" s="917"/>
      <c r="U142" s="917"/>
      <c r="V142" s="917"/>
      <c r="W142" s="917"/>
      <c r="X142" s="917"/>
      <c r="Y142" s="917"/>
      <c r="Z142" s="917"/>
      <c r="AA142" s="917"/>
      <c r="AB142" s="917"/>
      <c r="AC142" s="917"/>
      <c r="AD142" s="917"/>
      <c r="AE142" s="917"/>
      <c r="AF142" s="917"/>
      <c r="AG142" s="918"/>
    </row>
    <row r="143" spans="2:33" s="557" customFormat="1" ht="22.5" customHeight="1" thickBot="1">
      <c r="B143" s="639"/>
      <c r="C143" s="1292"/>
      <c r="D143" s="1292"/>
      <c r="E143" s="1292"/>
      <c r="F143" s="1292"/>
      <c r="G143" s="1292"/>
      <c r="H143" s="640"/>
      <c r="I143" s="640"/>
      <c r="J143" s="640"/>
      <c r="K143" s="640"/>
      <c r="L143" s="640"/>
      <c r="M143" s="640"/>
      <c r="N143" s="640"/>
      <c r="O143" s="640"/>
      <c r="P143" s="1089"/>
      <c r="Q143" s="641"/>
      <c r="S143" s="951"/>
      <c r="T143" s="952"/>
      <c r="U143" s="952"/>
      <c r="V143" s="952"/>
      <c r="W143" s="952"/>
      <c r="X143" s="952"/>
      <c r="Y143" s="952"/>
      <c r="Z143" s="952"/>
      <c r="AA143" s="952"/>
      <c r="AB143" s="952"/>
      <c r="AC143" s="952"/>
      <c r="AD143" s="952"/>
      <c r="AE143" s="952"/>
      <c r="AF143" s="952"/>
      <c r="AG143" s="953"/>
    </row>
    <row r="144" spans="3:18" s="557" customFormat="1" ht="22.5" customHeight="1">
      <c r="C144" s="566"/>
      <c r="D144" s="566"/>
      <c r="E144" s="567"/>
      <c r="F144" s="567"/>
      <c r="G144" s="567"/>
      <c r="H144" s="567"/>
      <c r="I144" s="567"/>
      <c r="J144" s="567"/>
      <c r="K144" s="567"/>
      <c r="L144" s="567"/>
      <c r="M144" s="567"/>
      <c r="N144" s="567"/>
      <c r="O144" s="567"/>
      <c r="P144" s="567"/>
      <c r="R144" s="557" t="s">
        <v>83</v>
      </c>
    </row>
    <row r="145" spans="3:16" s="557" customFormat="1" ht="12.75">
      <c r="C145" s="642" t="s">
        <v>286</v>
      </c>
      <c r="D145" s="566"/>
      <c r="E145" s="567"/>
      <c r="F145" s="567"/>
      <c r="G145" s="567"/>
      <c r="H145" s="567"/>
      <c r="I145" s="567"/>
      <c r="J145" s="567"/>
      <c r="K145" s="567"/>
      <c r="L145" s="567"/>
      <c r="M145" s="567"/>
      <c r="N145" s="567"/>
      <c r="O145" s="567"/>
      <c r="P145" s="954" t="s">
        <v>269</v>
      </c>
    </row>
    <row r="146" spans="3:16" s="557" customFormat="1" ht="12.75">
      <c r="C146" s="644" t="s">
        <v>287</v>
      </c>
      <c r="D146" s="566"/>
      <c r="E146" s="567"/>
      <c r="F146" s="567"/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</row>
    <row r="147" spans="3:16" s="557" customFormat="1" ht="12.75">
      <c r="C147" s="644" t="s">
        <v>288</v>
      </c>
      <c r="D147" s="566"/>
      <c r="E147" s="567"/>
      <c r="F147" s="567"/>
      <c r="G147" s="567"/>
      <c r="H147" s="567"/>
      <c r="I147" s="567"/>
      <c r="J147" s="567"/>
      <c r="K147" s="567"/>
      <c r="L147" s="567"/>
      <c r="M147" s="567"/>
      <c r="N147" s="567"/>
      <c r="O147" s="567"/>
      <c r="P147" s="567"/>
    </row>
    <row r="148" spans="3:16" s="557" customFormat="1" ht="12.75">
      <c r="C148" s="644" t="s">
        <v>289</v>
      </c>
      <c r="D148" s="566"/>
      <c r="E148" s="567"/>
      <c r="F148" s="567"/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3:16" s="557" customFormat="1" ht="12.75">
      <c r="C149" s="644" t="s">
        <v>290</v>
      </c>
      <c r="D149" s="566"/>
      <c r="E149" s="567"/>
      <c r="F149" s="567"/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3:16" s="557" customFormat="1" ht="22.5" customHeight="1">
      <c r="C150" s="566"/>
      <c r="D150" s="566"/>
      <c r="E150" s="567"/>
      <c r="F150" s="567"/>
      <c r="G150" s="567"/>
      <c r="H150" s="567"/>
      <c r="I150" s="567"/>
      <c r="J150" s="567"/>
      <c r="K150" s="567"/>
      <c r="L150" s="567"/>
      <c r="M150" s="567"/>
      <c r="N150" s="567"/>
      <c r="O150" s="567"/>
      <c r="P150" s="567"/>
    </row>
    <row r="151" spans="3:16" s="557" customFormat="1" ht="12.75">
      <c r="C151" s="566"/>
      <c r="D151" s="566"/>
      <c r="E151" s="567"/>
      <c r="F151" s="567"/>
      <c r="G151" s="567"/>
      <c r="H151" s="567"/>
      <c r="I151" s="567"/>
      <c r="J151" s="567"/>
      <c r="K151" s="567"/>
      <c r="L151" s="567"/>
      <c r="M151" s="567"/>
      <c r="N151" s="567"/>
      <c r="O151" s="567"/>
      <c r="P151" s="567"/>
    </row>
    <row r="152" spans="3:16" s="557" customFormat="1" ht="12.75" hidden="1">
      <c r="C152" s="1204" t="s">
        <v>156</v>
      </c>
      <c r="D152" s="566"/>
      <c r="E152" s="567"/>
      <c r="F152" s="567"/>
      <c r="G152" s="567"/>
      <c r="H152" s="567"/>
      <c r="I152" s="567"/>
      <c r="J152" s="567"/>
      <c r="K152" s="567"/>
      <c r="L152" s="567"/>
      <c r="M152" s="567"/>
      <c r="N152" s="567"/>
      <c r="O152" s="567"/>
      <c r="P152" s="567"/>
    </row>
    <row r="153" spans="3:16" s="557" customFormat="1" ht="12.75" hidden="1">
      <c r="C153" s="566" t="s">
        <v>286</v>
      </c>
      <c r="D153" s="566"/>
      <c r="E153" s="567"/>
      <c r="F153" s="567"/>
      <c r="G153" s="567"/>
      <c r="H153" s="567"/>
      <c r="I153" s="567"/>
      <c r="J153" s="567"/>
      <c r="K153" s="567"/>
      <c r="L153" s="567"/>
      <c r="M153" s="567"/>
      <c r="N153" s="567"/>
      <c r="O153" s="567"/>
      <c r="P153" s="567"/>
    </row>
    <row r="154" spans="3:16" s="557" customFormat="1" ht="12.75" hidden="1">
      <c r="C154" s="557" t="s">
        <v>490</v>
      </c>
      <c r="E154" s="559"/>
      <c r="F154" s="559"/>
      <c r="G154" s="567"/>
      <c r="H154" s="567"/>
      <c r="I154" s="567"/>
      <c r="J154" s="567"/>
      <c r="K154" s="567"/>
      <c r="L154" s="567"/>
      <c r="M154" s="567"/>
      <c r="N154" s="567"/>
      <c r="O154" s="567"/>
      <c r="P154" s="567"/>
    </row>
    <row r="155" spans="5:16" s="557" customFormat="1" ht="12.75">
      <c r="E155" s="559"/>
      <c r="F155" s="559"/>
      <c r="G155" s="559"/>
      <c r="H155" s="559"/>
      <c r="I155" s="559"/>
      <c r="J155" s="559"/>
      <c r="K155" s="559"/>
      <c r="L155" s="559"/>
      <c r="M155" s="559"/>
      <c r="N155" s="559"/>
      <c r="O155" s="559"/>
      <c r="P155" s="559"/>
    </row>
  </sheetData>
  <sheetProtection sheet="1" insertRows="0"/>
  <mergeCells count="51">
    <mergeCell ref="E102:F102"/>
    <mergeCell ref="C102:D102"/>
    <mergeCell ref="C113:F113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45:F45"/>
    <mergeCell ref="C143:G143"/>
    <mergeCell ref="C45:D45"/>
    <mergeCell ref="C87:D87"/>
    <mergeCell ref="G87:H87"/>
    <mergeCell ref="E90:F90"/>
    <mergeCell ref="E91:F91"/>
    <mergeCell ref="E92:F92"/>
    <mergeCell ref="E93:F93"/>
    <mergeCell ref="E94:F94"/>
    <mergeCell ref="E95:F95"/>
    <mergeCell ref="E112:F112"/>
    <mergeCell ref="E96:F96"/>
    <mergeCell ref="E97:F97"/>
    <mergeCell ref="E98:F98"/>
    <mergeCell ref="C99:F99"/>
    <mergeCell ref="I87:J87"/>
    <mergeCell ref="C88:D88"/>
    <mergeCell ref="E89:F89"/>
    <mergeCell ref="C83:F83"/>
    <mergeCell ref="E88:F88"/>
    <mergeCell ref="E87:F87"/>
    <mergeCell ref="P6:P7"/>
    <mergeCell ref="D9:P9"/>
    <mergeCell ref="C12:D12"/>
    <mergeCell ref="C15:D15"/>
    <mergeCell ref="L15:M15"/>
    <mergeCell ref="C19:E19"/>
    <mergeCell ref="L16:M16"/>
    <mergeCell ref="F15:K15"/>
    <mergeCell ref="I44:J44"/>
    <mergeCell ref="E44:F44"/>
    <mergeCell ref="J16:K16"/>
    <mergeCell ref="G16:H16"/>
    <mergeCell ref="G44:H44"/>
    <mergeCell ref="C40:E40"/>
    <mergeCell ref="C16:D16"/>
    <mergeCell ref="C17:D17"/>
    <mergeCell ref="C44:D44"/>
  </mergeCells>
  <dataValidations count="1">
    <dataValidation type="list" allowBlank="1" showInputMessage="1" showErrorMessage="1" sqref="E46:E82">
      <formula1>$C$153:$C$154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2" r:id="rId2"/>
  <ignoredErrors>
    <ignoredError sqref="H45:I45 H83:I83 H47:H81" formula="1"/>
    <ignoredError sqref="I46:I82" formula="1" unlockedFormula="1"/>
    <ignoredError sqref="J47:J81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60" zoomScaleNormal="60" zoomScalePageLayoutView="125" workbookViewId="0" topLeftCell="A39">
      <selection activeCell="M21" sqref="M21"/>
    </sheetView>
  </sheetViews>
  <sheetFormatPr defaultColWidth="10.6640625" defaultRowHeight="22.5" customHeight="1"/>
  <cols>
    <col min="1" max="1" width="4.3359375" style="557" bestFit="1" customWidth="1"/>
    <col min="2" max="2" width="3.3359375" style="557" customWidth="1"/>
    <col min="3" max="3" width="13.5546875" style="557" customWidth="1"/>
    <col min="4" max="4" width="26.5546875" style="557" customWidth="1"/>
    <col min="5" max="6" width="13.4453125" style="559" customWidth="1"/>
    <col min="7" max="7" width="19.99609375" style="559" customWidth="1"/>
    <col min="8" max="8" width="13.4453125" style="559" customWidth="1"/>
    <col min="9" max="9" width="11.3359375" style="559" customWidth="1"/>
    <col min="10" max="10" width="15.99609375" style="559" customWidth="1"/>
    <col min="11" max="12" width="15.6640625" style="559" customWidth="1"/>
    <col min="13" max="13" width="16.5546875" style="559" customWidth="1"/>
    <col min="14" max="14" width="16.99609375" style="559" customWidth="1"/>
    <col min="15" max="19" width="15.6640625" style="559" customWidth="1"/>
    <col min="20" max="20" width="3.3359375" style="557" customWidth="1"/>
    <col min="21" max="21" width="10.6640625" style="557" customWidth="1"/>
    <col min="22" max="22" width="11.3359375" style="557" bestFit="1" customWidth="1"/>
    <col min="23" max="16384" width="10.6640625" style="557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557" t="s">
        <v>82</v>
      </c>
    </row>
    <row r="5" spans="2:35" ht="9" customHeight="1"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3"/>
      <c r="V5" s="912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4"/>
    </row>
    <row r="6" spans="2:35" ht="30" customHeight="1">
      <c r="B6" s="564"/>
      <c r="C6" s="565" t="s">
        <v>216</v>
      </c>
      <c r="D6" s="566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1291">
        <f>ejercicio</f>
        <v>2020</v>
      </c>
      <c r="T6" s="568"/>
      <c r="V6" s="915"/>
      <c r="W6" s="916" t="s">
        <v>906</v>
      </c>
      <c r="X6" s="917"/>
      <c r="Y6" s="917"/>
      <c r="Z6" s="917"/>
      <c r="AA6" s="917"/>
      <c r="AB6" s="917"/>
      <c r="AC6" s="917"/>
      <c r="AD6" s="917"/>
      <c r="AE6" s="917"/>
      <c r="AF6" s="917"/>
      <c r="AG6" s="917"/>
      <c r="AH6" s="917"/>
      <c r="AI6" s="918"/>
    </row>
    <row r="7" spans="2:35" ht="30" customHeight="1">
      <c r="B7" s="564"/>
      <c r="C7" s="565" t="s">
        <v>217</v>
      </c>
      <c r="D7" s="566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1291"/>
      <c r="T7" s="568"/>
      <c r="V7" s="915"/>
      <c r="W7" s="917"/>
      <c r="X7" s="917"/>
      <c r="Y7" s="917"/>
      <c r="Z7" s="917"/>
      <c r="AA7" s="917"/>
      <c r="AB7" s="917"/>
      <c r="AC7" s="917"/>
      <c r="AD7" s="917"/>
      <c r="AE7" s="917"/>
      <c r="AF7" s="917"/>
      <c r="AG7" s="917"/>
      <c r="AH7" s="917"/>
      <c r="AI7" s="918"/>
    </row>
    <row r="8" spans="2:35" ht="30" customHeight="1">
      <c r="B8" s="564"/>
      <c r="C8" s="570"/>
      <c r="D8" s="566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8"/>
      <c r="V8" s="915"/>
      <c r="W8" s="917"/>
      <c r="X8" s="917"/>
      <c r="Y8" s="917"/>
      <c r="Z8" s="917"/>
      <c r="AA8" s="917"/>
      <c r="AB8" s="917"/>
      <c r="AC8" s="917"/>
      <c r="AD8" s="917"/>
      <c r="AE8" s="917"/>
      <c r="AF8" s="917"/>
      <c r="AG8" s="917"/>
      <c r="AH8" s="917"/>
      <c r="AI8" s="918"/>
    </row>
    <row r="9" spans="2:35" s="573" customFormat="1" ht="30" customHeight="1">
      <c r="B9" s="571"/>
      <c r="C9" s="572" t="s">
        <v>218</v>
      </c>
      <c r="D9" s="1293" t="str">
        <f>Entidad</f>
        <v>INSTITUTO TECNOLOGICO Y DE ENERGIAS RENOVABLES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1293"/>
      <c r="T9" s="569"/>
      <c r="V9" s="915"/>
      <c r="W9" s="917"/>
      <c r="X9" s="917"/>
      <c r="Y9" s="917"/>
      <c r="Z9" s="917"/>
      <c r="AA9" s="917"/>
      <c r="AB9" s="917"/>
      <c r="AC9" s="917"/>
      <c r="AD9" s="917"/>
      <c r="AE9" s="917"/>
      <c r="AF9" s="917"/>
      <c r="AG9" s="917"/>
      <c r="AH9" s="917"/>
      <c r="AI9" s="918"/>
    </row>
    <row r="10" spans="2:35" ht="6.75" customHeight="1">
      <c r="B10" s="564"/>
      <c r="C10" s="566"/>
      <c r="D10" s="566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8"/>
      <c r="V10" s="915"/>
      <c r="W10" s="917"/>
      <c r="X10" s="917"/>
      <c r="Y10" s="917"/>
      <c r="Z10" s="917"/>
      <c r="AA10" s="917"/>
      <c r="AB10" s="917"/>
      <c r="AC10" s="917"/>
      <c r="AD10" s="917"/>
      <c r="AE10" s="917"/>
      <c r="AF10" s="917"/>
      <c r="AG10" s="917"/>
      <c r="AH10" s="917"/>
      <c r="AI10" s="918"/>
    </row>
    <row r="11" spans="2:35" s="577" customFormat="1" ht="30" customHeight="1">
      <c r="B11" s="574"/>
      <c r="C11" s="575" t="s">
        <v>934</v>
      </c>
      <c r="D11" s="575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919"/>
      <c r="V11" s="915"/>
      <c r="W11" s="917"/>
      <c r="X11" s="917"/>
      <c r="Y11" s="917"/>
      <c r="Z11" s="917"/>
      <c r="AA11" s="917"/>
      <c r="AB11" s="917"/>
      <c r="AC11" s="917"/>
      <c r="AD11" s="917"/>
      <c r="AE11" s="917"/>
      <c r="AF11" s="917"/>
      <c r="AG11" s="917"/>
      <c r="AH11" s="917"/>
      <c r="AI11" s="918"/>
    </row>
    <row r="12" spans="2:35" s="577" customFormat="1" ht="30" customHeight="1">
      <c r="B12" s="574"/>
      <c r="C12" s="1301"/>
      <c r="D12" s="1301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919"/>
      <c r="V12" s="915"/>
      <c r="W12" s="917"/>
      <c r="X12" s="917"/>
      <c r="Y12" s="917"/>
      <c r="Z12" s="917"/>
      <c r="AA12" s="917"/>
      <c r="AB12" s="917"/>
      <c r="AC12" s="917"/>
      <c r="AD12" s="917"/>
      <c r="AE12" s="917"/>
      <c r="AF12" s="917"/>
      <c r="AG12" s="917"/>
      <c r="AH12" s="917"/>
      <c r="AI12" s="918"/>
    </row>
    <row r="13" spans="2:35" ht="28.5" customHeight="1">
      <c r="B13" s="580"/>
      <c r="C13" s="920" t="s">
        <v>1171</v>
      </c>
      <c r="D13" s="886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68"/>
      <c r="V13" s="915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8"/>
    </row>
    <row r="14" spans="2:35" ht="9" customHeight="1">
      <c r="B14" s="580"/>
      <c r="C14" s="886"/>
      <c r="D14" s="886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68"/>
      <c r="V14" s="915"/>
      <c r="W14" s="917"/>
      <c r="X14" s="917"/>
      <c r="Y14" s="917"/>
      <c r="Z14" s="917"/>
      <c r="AA14" s="917"/>
      <c r="AB14" s="917"/>
      <c r="AC14" s="917"/>
      <c r="AD14" s="917"/>
      <c r="AE14" s="917"/>
      <c r="AF14" s="917"/>
      <c r="AG14" s="917"/>
      <c r="AH14" s="917"/>
      <c r="AI14" s="918"/>
    </row>
    <row r="15" spans="2:35" ht="22.5" customHeight="1">
      <c r="B15" s="580"/>
      <c r="C15" s="886"/>
      <c r="D15" s="886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68"/>
      <c r="V15" s="915"/>
      <c r="W15" s="917"/>
      <c r="X15" s="917"/>
      <c r="Y15" s="917"/>
      <c r="Z15" s="917"/>
      <c r="AA15" s="917"/>
      <c r="AB15" s="917"/>
      <c r="AC15" s="917"/>
      <c r="AD15" s="917"/>
      <c r="AE15" s="917"/>
      <c r="AF15" s="917"/>
      <c r="AG15" s="917"/>
      <c r="AH15" s="917"/>
      <c r="AI15" s="918"/>
    </row>
    <row r="16" spans="2:35" ht="39" customHeight="1">
      <c r="B16" s="580"/>
      <c r="C16" s="921" t="s">
        <v>693</v>
      </c>
      <c r="D16" s="922" t="s">
        <v>695</v>
      </c>
      <c r="E16" s="921" t="s">
        <v>894</v>
      </c>
      <c r="F16" s="921" t="s">
        <v>894</v>
      </c>
      <c r="G16" s="921" t="s">
        <v>697</v>
      </c>
      <c r="H16" s="921" t="s">
        <v>701</v>
      </c>
      <c r="I16" s="921" t="s">
        <v>703</v>
      </c>
      <c r="J16" s="921" t="s">
        <v>947</v>
      </c>
      <c r="K16" s="921" t="s">
        <v>699</v>
      </c>
      <c r="L16" s="921" t="s">
        <v>896</v>
      </c>
      <c r="M16" s="923" t="s">
        <v>907</v>
      </c>
      <c r="N16" s="921" t="s">
        <v>136</v>
      </c>
      <c r="O16" s="921" t="s">
        <v>137</v>
      </c>
      <c r="P16" s="924" t="s">
        <v>138</v>
      </c>
      <c r="Q16" s="921" t="s">
        <v>896</v>
      </c>
      <c r="R16" s="1410" t="s">
        <v>139</v>
      </c>
      <c r="S16" s="1411"/>
      <c r="T16" s="568"/>
      <c r="V16" s="915"/>
      <c r="W16" s="917"/>
      <c r="X16" s="917"/>
      <c r="Y16" s="917"/>
      <c r="Z16" s="917"/>
      <c r="AA16" s="917"/>
      <c r="AB16" s="917"/>
      <c r="AC16" s="917"/>
      <c r="AD16" s="917"/>
      <c r="AE16" s="917"/>
      <c r="AF16" s="917"/>
      <c r="AG16" s="917"/>
      <c r="AH16" s="917"/>
      <c r="AI16" s="918"/>
    </row>
    <row r="17" spans="2:35" ht="22.5" customHeight="1">
      <c r="B17" s="580"/>
      <c r="C17" s="925" t="s">
        <v>694</v>
      </c>
      <c r="D17" s="926" t="s">
        <v>694</v>
      </c>
      <c r="E17" s="925" t="s">
        <v>696</v>
      </c>
      <c r="F17" s="925" t="s">
        <v>895</v>
      </c>
      <c r="G17" s="925" t="s">
        <v>698</v>
      </c>
      <c r="H17" s="925" t="s">
        <v>702</v>
      </c>
      <c r="I17" s="925" t="s">
        <v>932</v>
      </c>
      <c r="J17" s="925" t="s">
        <v>1092</v>
      </c>
      <c r="K17" s="925" t="s">
        <v>135</v>
      </c>
      <c r="L17" s="925">
        <f>ejercicio-1</f>
        <v>2019</v>
      </c>
      <c r="M17" s="925">
        <f>ejercicio</f>
        <v>2020</v>
      </c>
      <c r="N17" s="925">
        <f>ejercicio</f>
        <v>2020</v>
      </c>
      <c r="O17" s="925">
        <f>ejercicio</f>
        <v>2020</v>
      </c>
      <c r="P17" s="925">
        <f>ejercicio</f>
        <v>2020</v>
      </c>
      <c r="Q17" s="925">
        <f>ejercicio</f>
        <v>2020</v>
      </c>
      <c r="R17" s="927" t="s">
        <v>897</v>
      </c>
      <c r="S17" s="928" t="s">
        <v>898</v>
      </c>
      <c r="T17" s="568"/>
      <c r="V17" s="915"/>
      <c r="W17" s="917"/>
      <c r="X17" s="917"/>
      <c r="Y17" s="917"/>
      <c r="Z17" s="917"/>
      <c r="AA17" s="917"/>
      <c r="AB17" s="917"/>
      <c r="AC17" s="917"/>
      <c r="AD17" s="917"/>
      <c r="AE17" s="917"/>
      <c r="AF17" s="917"/>
      <c r="AG17" s="917"/>
      <c r="AH17" s="917"/>
      <c r="AI17" s="918"/>
    </row>
    <row r="18" spans="2:35" ht="22.5" customHeight="1">
      <c r="B18" s="580"/>
      <c r="C18" s="464">
        <v>1</v>
      </c>
      <c r="D18" s="884" t="s">
        <v>1068</v>
      </c>
      <c r="E18" s="883">
        <v>43186</v>
      </c>
      <c r="F18" s="883">
        <v>46843</v>
      </c>
      <c r="G18" s="1155" t="s">
        <v>1069</v>
      </c>
      <c r="H18" s="1156" t="s">
        <v>1070</v>
      </c>
      <c r="I18" s="1156" t="s">
        <v>1071</v>
      </c>
      <c r="J18" s="725" t="s">
        <v>1071</v>
      </c>
      <c r="K18" s="528">
        <v>34763966</v>
      </c>
      <c r="L18" s="528">
        <f>15592541.21+3297261.33</f>
        <v>18889802.54</v>
      </c>
      <c r="M18" s="726"/>
      <c r="N18" s="726">
        <v>7274427.6</v>
      </c>
      <c r="O18" s="726">
        <v>132328.68</v>
      </c>
      <c r="P18" s="655"/>
      <c r="Q18" s="929">
        <f>L18+M18-N18</f>
        <v>11615374.94</v>
      </c>
      <c r="R18" s="783">
        <v>3297261.33</v>
      </c>
      <c r="S18" s="784">
        <v>8318113.609999999</v>
      </c>
      <c r="T18" s="568"/>
      <c r="V18" s="915"/>
      <c r="W18" s="917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8"/>
    </row>
    <row r="19" spans="2:35" ht="22.5" customHeight="1">
      <c r="B19" s="580"/>
      <c r="C19" s="464">
        <v>2</v>
      </c>
      <c r="D19" s="1269" t="s">
        <v>1074</v>
      </c>
      <c r="E19" s="1270">
        <v>42234</v>
      </c>
      <c r="F19" s="1270">
        <v>45826</v>
      </c>
      <c r="G19" s="1271" t="s">
        <v>1210</v>
      </c>
      <c r="H19" s="1272" t="s">
        <v>1070</v>
      </c>
      <c r="I19" s="1272" t="s">
        <v>1071</v>
      </c>
      <c r="J19" s="1273" t="s">
        <v>1071</v>
      </c>
      <c r="K19" s="1274">
        <v>18000000</v>
      </c>
      <c r="L19" s="528">
        <v>0</v>
      </c>
      <c r="M19" s="955"/>
      <c r="N19" s="528"/>
      <c r="O19" s="528"/>
      <c r="P19" s="655"/>
      <c r="Q19" s="929">
        <f aca="true" t="shared" si="0" ref="Q19:Q42">L19+M19-N19</f>
        <v>0</v>
      </c>
      <c r="R19" s="785"/>
      <c r="S19" s="786"/>
      <c r="T19" s="568"/>
      <c r="V19" s="915"/>
      <c r="W19" s="917"/>
      <c r="X19" s="917"/>
      <c r="Y19" s="917"/>
      <c r="Z19" s="917"/>
      <c r="AA19" s="917"/>
      <c r="AB19" s="917"/>
      <c r="AC19" s="917"/>
      <c r="AD19" s="917"/>
      <c r="AE19" s="917"/>
      <c r="AF19" s="917"/>
      <c r="AG19" s="917"/>
      <c r="AH19" s="917"/>
      <c r="AI19" s="918"/>
    </row>
    <row r="20" spans="2:35" ht="22.5" customHeight="1">
      <c r="B20" s="580"/>
      <c r="C20" s="464"/>
      <c r="D20" s="884"/>
      <c r="E20" s="883"/>
      <c r="F20" s="883"/>
      <c r="G20" s="1155"/>
      <c r="H20" s="1156"/>
      <c r="I20" s="1156"/>
      <c r="J20" s="1156"/>
      <c r="K20" s="528"/>
      <c r="L20" s="528"/>
      <c r="M20" s="528"/>
      <c r="N20" s="528"/>
      <c r="O20" s="528"/>
      <c r="P20" s="655"/>
      <c r="Q20" s="929">
        <f t="shared" si="0"/>
        <v>0</v>
      </c>
      <c r="R20" s="785"/>
      <c r="S20" s="786"/>
      <c r="T20" s="568"/>
      <c r="V20" s="915"/>
      <c r="W20" s="917"/>
      <c r="X20" s="917"/>
      <c r="Y20" s="917"/>
      <c r="Z20" s="917"/>
      <c r="AA20" s="917"/>
      <c r="AB20" s="917"/>
      <c r="AC20" s="917"/>
      <c r="AD20" s="917"/>
      <c r="AE20" s="917"/>
      <c r="AF20" s="917"/>
      <c r="AG20" s="917"/>
      <c r="AH20" s="917"/>
      <c r="AI20" s="918"/>
    </row>
    <row r="21" spans="2:35" ht="22.5" customHeight="1">
      <c r="B21" s="580"/>
      <c r="C21" s="464"/>
      <c r="D21" s="884"/>
      <c r="E21" s="883"/>
      <c r="F21" s="883"/>
      <c r="G21" s="1155"/>
      <c r="H21" s="1156"/>
      <c r="I21" s="1156"/>
      <c r="J21" s="1156"/>
      <c r="K21" s="528"/>
      <c r="L21" s="528"/>
      <c r="M21" s="528"/>
      <c r="N21" s="528"/>
      <c r="O21" s="528"/>
      <c r="P21" s="655"/>
      <c r="Q21" s="929">
        <f t="shared" si="0"/>
        <v>0</v>
      </c>
      <c r="R21" s="785"/>
      <c r="S21" s="786"/>
      <c r="T21" s="568"/>
      <c r="V21" s="915"/>
      <c r="W21" s="917"/>
      <c r="X21" s="917"/>
      <c r="Y21" s="917"/>
      <c r="Z21" s="917"/>
      <c r="AA21" s="917"/>
      <c r="AB21" s="917"/>
      <c r="AC21" s="917"/>
      <c r="AD21" s="917"/>
      <c r="AE21" s="917"/>
      <c r="AF21" s="917"/>
      <c r="AG21" s="917"/>
      <c r="AH21" s="917"/>
      <c r="AI21" s="918"/>
    </row>
    <row r="22" spans="2:35" ht="22.5" customHeight="1">
      <c r="B22" s="580"/>
      <c r="C22" s="464"/>
      <c r="D22" s="461"/>
      <c r="E22" s="883"/>
      <c r="F22" s="883"/>
      <c r="G22" s="464"/>
      <c r="H22" s="520"/>
      <c r="I22" s="520"/>
      <c r="J22" s="520"/>
      <c r="K22" s="528"/>
      <c r="L22" s="528"/>
      <c r="M22" s="528"/>
      <c r="N22" s="528"/>
      <c r="O22" s="528"/>
      <c r="P22" s="655"/>
      <c r="Q22" s="929">
        <f t="shared" si="0"/>
        <v>0</v>
      </c>
      <c r="R22" s="785"/>
      <c r="S22" s="786"/>
      <c r="T22" s="568"/>
      <c r="V22" s="915"/>
      <c r="W22" s="917"/>
      <c r="X22" s="917"/>
      <c r="Y22" s="917"/>
      <c r="Z22" s="917"/>
      <c r="AA22" s="917"/>
      <c r="AB22" s="917"/>
      <c r="AC22" s="917"/>
      <c r="AD22" s="917"/>
      <c r="AE22" s="917"/>
      <c r="AF22" s="917"/>
      <c r="AG22" s="917"/>
      <c r="AH22" s="917"/>
      <c r="AI22" s="918"/>
    </row>
    <row r="23" spans="2:35" ht="22.5" customHeight="1">
      <c r="B23" s="580"/>
      <c r="C23" s="464"/>
      <c r="D23" s="461"/>
      <c r="E23" s="883"/>
      <c r="F23" s="883"/>
      <c r="G23" s="464"/>
      <c r="H23" s="520"/>
      <c r="I23" s="520"/>
      <c r="J23" s="520"/>
      <c r="K23" s="528"/>
      <c r="L23" s="528"/>
      <c r="M23" s="528"/>
      <c r="N23" s="528"/>
      <c r="O23" s="528"/>
      <c r="P23" s="655"/>
      <c r="Q23" s="929">
        <f t="shared" si="0"/>
        <v>0</v>
      </c>
      <c r="R23" s="785"/>
      <c r="S23" s="786"/>
      <c r="T23" s="568"/>
      <c r="V23" s="915"/>
      <c r="W23" s="917"/>
      <c r="X23" s="917"/>
      <c r="Y23" s="917"/>
      <c r="Z23" s="917"/>
      <c r="AA23" s="917"/>
      <c r="AB23" s="917"/>
      <c r="AC23" s="917"/>
      <c r="AD23" s="917"/>
      <c r="AE23" s="917"/>
      <c r="AF23" s="917"/>
      <c r="AG23" s="917"/>
      <c r="AH23" s="917"/>
      <c r="AI23" s="918"/>
    </row>
    <row r="24" spans="2:35" ht="22.5" customHeight="1">
      <c r="B24" s="580"/>
      <c r="C24" s="464"/>
      <c r="D24" s="461"/>
      <c r="E24" s="883"/>
      <c r="F24" s="883"/>
      <c r="G24" s="464"/>
      <c r="H24" s="520"/>
      <c r="I24" s="520"/>
      <c r="J24" s="520"/>
      <c r="K24" s="528"/>
      <c r="L24" s="528"/>
      <c r="M24" s="528"/>
      <c r="N24" s="528"/>
      <c r="O24" s="528"/>
      <c r="P24" s="655"/>
      <c r="Q24" s="929">
        <f t="shared" si="0"/>
        <v>0</v>
      </c>
      <c r="R24" s="785"/>
      <c r="S24" s="786"/>
      <c r="T24" s="568"/>
      <c r="V24" s="915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8"/>
    </row>
    <row r="25" spans="2:35" ht="22.5" customHeight="1">
      <c r="B25" s="580"/>
      <c r="C25" s="464"/>
      <c r="D25" s="461"/>
      <c r="E25" s="883"/>
      <c r="F25" s="883"/>
      <c r="G25" s="464"/>
      <c r="H25" s="520"/>
      <c r="I25" s="520"/>
      <c r="J25" s="520"/>
      <c r="K25" s="528"/>
      <c r="L25" s="528"/>
      <c r="M25" s="528"/>
      <c r="N25" s="528"/>
      <c r="O25" s="528"/>
      <c r="P25" s="655"/>
      <c r="Q25" s="929">
        <f t="shared" si="0"/>
        <v>0</v>
      </c>
      <c r="R25" s="785"/>
      <c r="S25" s="786"/>
      <c r="T25" s="568"/>
      <c r="V25" s="915"/>
      <c r="W25" s="917"/>
      <c r="X25" s="917"/>
      <c r="Y25" s="917"/>
      <c r="Z25" s="917"/>
      <c r="AA25" s="917"/>
      <c r="AB25" s="917"/>
      <c r="AC25" s="917"/>
      <c r="AD25" s="917"/>
      <c r="AE25" s="917"/>
      <c r="AF25" s="917"/>
      <c r="AG25" s="917"/>
      <c r="AH25" s="917"/>
      <c r="AI25" s="918"/>
    </row>
    <row r="26" spans="2:35" ht="22.5" customHeight="1">
      <c r="B26" s="580"/>
      <c r="C26" s="464"/>
      <c r="D26" s="461"/>
      <c r="E26" s="883"/>
      <c r="F26" s="883"/>
      <c r="G26" s="464"/>
      <c r="H26" s="520"/>
      <c r="I26" s="520"/>
      <c r="J26" s="520"/>
      <c r="K26" s="528"/>
      <c r="L26" s="528"/>
      <c r="M26" s="528"/>
      <c r="N26" s="528"/>
      <c r="O26" s="528"/>
      <c r="P26" s="655"/>
      <c r="Q26" s="929">
        <f t="shared" si="0"/>
        <v>0</v>
      </c>
      <c r="R26" s="785"/>
      <c r="S26" s="786"/>
      <c r="T26" s="568"/>
      <c r="V26" s="915"/>
      <c r="W26" s="917"/>
      <c r="X26" s="917"/>
      <c r="Y26" s="917"/>
      <c r="Z26" s="917"/>
      <c r="AA26" s="917"/>
      <c r="AB26" s="917"/>
      <c r="AC26" s="917"/>
      <c r="AD26" s="917"/>
      <c r="AE26" s="917"/>
      <c r="AF26" s="917"/>
      <c r="AG26" s="917"/>
      <c r="AH26" s="917"/>
      <c r="AI26" s="918"/>
    </row>
    <row r="27" spans="2:35" ht="22.5" customHeight="1">
      <c r="B27" s="580"/>
      <c r="C27" s="464"/>
      <c r="D27" s="461"/>
      <c r="E27" s="883"/>
      <c r="F27" s="883"/>
      <c r="G27" s="464"/>
      <c r="H27" s="520"/>
      <c r="I27" s="520"/>
      <c r="J27" s="520"/>
      <c r="K27" s="528"/>
      <c r="L27" s="528"/>
      <c r="M27" s="528"/>
      <c r="N27" s="528"/>
      <c r="O27" s="528"/>
      <c r="P27" s="655"/>
      <c r="Q27" s="929">
        <f t="shared" si="0"/>
        <v>0</v>
      </c>
      <c r="R27" s="785"/>
      <c r="S27" s="786"/>
      <c r="T27" s="568"/>
      <c r="V27" s="915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8"/>
    </row>
    <row r="28" spans="2:35" ht="22.5" customHeight="1">
      <c r="B28" s="580"/>
      <c r="C28" s="464"/>
      <c r="D28" s="461"/>
      <c r="E28" s="520"/>
      <c r="F28" s="520"/>
      <c r="G28" s="464"/>
      <c r="H28" s="520"/>
      <c r="I28" s="520"/>
      <c r="J28" s="520"/>
      <c r="K28" s="528"/>
      <c r="L28" s="528"/>
      <c r="M28" s="528"/>
      <c r="N28" s="528"/>
      <c r="O28" s="528"/>
      <c r="P28" s="655"/>
      <c r="Q28" s="929">
        <f t="shared" si="0"/>
        <v>0</v>
      </c>
      <c r="R28" s="785"/>
      <c r="S28" s="786"/>
      <c r="T28" s="568"/>
      <c r="V28" s="915"/>
      <c r="W28" s="917"/>
      <c r="X28" s="917"/>
      <c r="Y28" s="917"/>
      <c r="Z28" s="917"/>
      <c r="AA28" s="917"/>
      <c r="AB28" s="917"/>
      <c r="AC28" s="917"/>
      <c r="AD28" s="917"/>
      <c r="AE28" s="917"/>
      <c r="AF28" s="917"/>
      <c r="AG28" s="917"/>
      <c r="AH28" s="917"/>
      <c r="AI28" s="918"/>
    </row>
    <row r="29" spans="2:35" ht="22.5" customHeight="1">
      <c r="B29" s="580"/>
      <c r="C29" s="464"/>
      <c r="D29" s="461"/>
      <c r="E29" s="520"/>
      <c r="F29" s="520"/>
      <c r="G29" s="464"/>
      <c r="H29" s="520"/>
      <c r="I29" s="520"/>
      <c r="J29" s="520"/>
      <c r="K29" s="528"/>
      <c r="L29" s="528"/>
      <c r="M29" s="528"/>
      <c r="N29" s="528"/>
      <c r="O29" s="528"/>
      <c r="P29" s="655"/>
      <c r="Q29" s="929">
        <f t="shared" si="0"/>
        <v>0</v>
      </c>
      <c r="R29" s="785"/>
      <c r="S29" s="786"/>
      <c r="T29" s="568"/>
      <c r="V29" s="915"/>
      <c r="W29" s="917"/>
      <c r="X29" s="917"/>
      <c r="Y29" s="917"/>
      <c r="Z29" s="917"/>
      <c r="AA29" s="917"/>
      <c r="AB29" s="917"/>
      <c r="AC29" s="917"/>
      <c r="AD29" s="917"/>
      <c r="AE29" s="917"/>
      <c r="AF29" s="917"/>
      <c r="AG29" s="917"/>
      <c r="AH29" s="917"/>
      <c r="AI29" s="918"/>
    </row>
    <row r="30" spans="2:35" ht="22.5" customHeight="1">
      <c r="B30" s="580"/>
      <c r="C30" s="464"/>
      <c r="D30" s="461"/>
      <c r="E30" s="520"/>
      <c r="F30" s="520"/>
      <c r="G30" s="464"/>
      <c r="H30" s="520"/>
      <c r="I30" s="520"/>
      <c r="J30" s="520"/>
      <c r="K30" s="528"/>
      <c r="L30" s="528"/>
      <c r="M30" s="528"/>
      <c r="N30" s="528"/>
      <c r="O30" s="528"/>
      <c r="P30" s="655"/>
      <c r="Q30" s="929">
        <f t="shared" si="0"/>
        <v>0</v>
      </c>
      <c r="R30" s="785"/>
      <c r="S30" s="786"/>
      <c r="T30" s="568"/>
      <c r="V30" s="915"/>
      <c r="W30" s="917"/>
      <c r="X30" s="917"/>
      <c r="Y30" s="917"/>
      <c r="Z30" s="917"/>
      <c r="AA30" s="917"/>
      <c r="AB30" s="917"/>
      <c r="AC30" s="917"/>
      <c r="AD30" s="917"/>
      <c r="AE30" s="917"/>
      <c r="AF30" s="917"/>
      <c r="AG30" s="917"/>
      <c r="AH30" s="917"/>
      <c r="AI30" s="918"/>
    </row>
    <row r="31" spans="2:35" ht="22.5" customHeight="1">
      <c r="B31" s="580"/>
      <c r="C31" s="464"/>
      <c r="D31" s="461"/>
      <c r="E31" s="520"/>
      <c r="F31" s="520"/>
      <c r="G31" s="464"/>
      <c r="H31" s="520"/>
      <c r="I31" s="520"/>
      <c r="J31" s="520"/>
      <c r="K31" s="528"/>
      <c r="L31" s="528"/>
      <c r="M31" s="528"/>
      <c r="N31" s="528"/>
      <c r="O31" s="528"/>
      <c r="P31" s="655"/>
      <c r="Q31" s="929">
        <f t="shared" si="0"/>
        <v>0</v>
      </c>
      <c r="R31" s="785"/>
      <c r="S31" s="786"/>
      <c r="T31" s="568"/>
      <c r="V31" s="915"/>
      <c r="W31" s="917"/>
      <c r="X31" s="917"/>
      <c r="Y31" s="917"/>
      <c r="Z31" s="917"/>
      <c r="AA31" s="917"/>
      <c r="AB31" s="917"/>
      <c r="AC31" s="917"/>
      <c r="AD31" s="917"/>
      <c r="AE31" s="917"/>
      <c r="AF31" s="917"/>
      <c r="AG31" s="917"/>
      <c r="AH31" s="917"/>
      <c r="AI31" s="918"/>
    </row>
    <row r="32" spans="2:35" ht="22.5" customHeight="1">
      <c r="B32" s="580"/>
      <c r="C32" s="464"/>
      <c r="D32" s="461"/>
      <c r="E32" s="520"/>
      <c r="F32" s="520"/>
      <c r="G32" s="464"/>
      <c r="H32" s="520"/>
      <c r="I32" s="520"/>
      <c r="J32" s="520"/>
      <c r="K32" s="528"/>
      <c r="L32" s="528"/>
      <c r="M32" s="528"/>
      <c r="N32" s="528"/>
      <c r="O32" s="528"/>
      <c r="P32" s="655"/>
      <c r="Q32" s="929">
        <f t="shared" si="0"/>
        <v>0</v>
      </c>
      <c r="R32" s="785"/>
      <c r="S32" s="786"/>
      <c r="T32" s="568"/>
      <c r="V32" s="915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8"/>
    </row>
    <row r="33" spans="2:35" ht="22.5" customHeight="1">
      <c r="B33" s="580"/>
      <c r="C33" s="464"/>
      <c r="D33" s="461"/>
      <c r="E33" s="520"/>
      <c r="F33" s="520"/>
      <c r="G33" s="464"/>
      <c r="H33" s="520"/>
      <c r="I33" s="520"/>
      <c r="J33" s="520"/>
      <c r="K33" s="528"/>
      <c r="L33" s="528"/>
      <c r="M33" s="528"/>
      <c r="N33" s="528"/>
      <c r="O33" s="528"/>
      <c r="P33" s="655"/>
      <c r="Q33" s="929">
        <f>L33+M33-N33</f>
        <v>0</v>
      </c>
      <c r="R33" s="785"/>
      <c r="S33" s="786"/>
      <c r="T33" s="568"/>
      <c r="V33" s="915"/>
      <c r="W33" s="917"/>
      <c r="X33" s="917"/>
      <c r="Y33" s="917"/>
      <c r="Z33" s="917"/>
      <c r="AA33" s="917"/>
      <c r="AB33" s="917"/>
      <c r="AC33" s="917"/>
      <c r="AD33" s="917"/>
      <c r="AE33" s="917"/>
      <c r="AF33" s="917"/>
      <c r="AG33" s="917"/>
      <c r="AH33" s="917"/>
      <c r="AI33" s="918"/>
    </row>
    <row r="34" spans="2:35" ht="22.5" customHeight="1">
      <c r="B34" s="580"/>
      <c r="C34" s="464"/>
      <c r="D34" s="461"/>
      <c r="E34" s="520"/>
      <c r="F34" s="520"/>
      <c r="G34" s="464"/>
      <c r="H34" s="520"/>
      <c r="I34" s="520"/>
      <c r="J34" s="520"/>
      <c r="K34" s="528"/>
      <c r="L34" s="528"/>
      <c r="M34" s="528"/>
      <c r="N34" s="528"/>
      <c r="O34" s="528"/>
      <c r="P34" s="655"/>
      <c r="Q34" s="929">
        <f t="shared" si="0"/>
        <v>0</v>
      </c>
      <c r="R34" s="785"/>
      <c r="S34" s="786"/>
      <c r="T34" s="568"/>
      <c r="V34" s="915"/>
      <c r="W34" s="917"/>
      <c r="X34" s="917"/>
      <c r="Y34" s="917"/>
      <c r="Z34" s="917"/>
      <c r="AA34" s="917"/>
      <c r="AB34" s="917"/>
      <c r="AC34" s="917"/>
      <c r="AD34" s="917"/>
      <c r="AE34" s="917"/>
      <c r="AF34" s="917"/>
      <c r="AG34" s="917"/>
      <c r="AH34" s="917"/>
      <c r="AI34" s="918"/>
    </row>
    <row r="35" spans="2:35" ht="22.5" customHeight="1">
      <c r="B35" s="580"/>
      <c r="C35" s="464"/>
      <c r="D35" s="461"/>
      <c r="E35" s="520"/>
      <c r="F35" s="520"/>
      <c r="G35" s="464"/>
      <c r="H35" s="520"/>
      <c r="I35" s="520"/>
      <c r="J35" s="520"/>
      <c r="K35" s="528"/>
      <c r="L35" s="528"/>
      <c r="M35" s="528"/>
      <c r="N35" s="528"/>
      <c r="O35" s="528"/>
      <c r="P35" s="655"/>
      <c r="Q35" s="929">
        <f t="shared" si="0"/>
        <v>0</v>
      </c>
      <c r="R35" s="785"/>
      <c r="S35" s="786"/>
      <c r="T35" s="568"/>
      <c r="V35" s="915"/>
      <c r="W35" s="917"/>
      <c r="X35" s="917"/>
      <c r="Y35" s="917"/>
      <c r="Z35" s="917"/>
      <c r="AA35" s="917"/>
      <c r="AB35" s="917"/>
      <c r="AC35" s="917"/>
      <c r="AD35" s="917"/>
      <c r="AE35" s="917"/>
      <c r="AF35" s="917"/>
      <c r="AG35" s="917"/>
      <c r="AH35" s="917"/>
      <c r="AI35" s="918"/>
    </row>
    <row r="36" spans="2:35" ht="22.5" customHeight="1">
      <c r="B36" s="580"/>
      <c r="C36" s="464"/>
      <c r="D36" s="461"/>
      <c r="E36" s="520"/>
      <c r="F36" s="520"/>
      <c r="G36" s="464"/>
      <c r="H36" s="520"/>
      <c r="I36" s="520"/>
      <c r="J36" s="520"/>
      <c r="K36" s="528"/>
      <c r="L36" s="528"/>
      <c r="M36" s="528"/>
      <c r="N36" s="528"/>
      <c r="O36" s="528"/>
      <c r="P36" s="655"/>
      <c r="Q36" s="929">
        <f t="shared" si="0"/>
        <v>0</v>
      </c>
      <c r="R36" s="785"/>
      <c r="S36" s="786"/>
      <c r="T36" s="568"/>
      <c r="V36" s="915"/>
      <c r="W36" s="917"/>
      <c r="X36" s="917"/>
      <c r="Y36" s="917"/>
      <c r="Z36" s="917"/>
      <c r="AA36" s="917"/>
      <c r="AB36" s="917"/>
      <c r="AC36" s="917"/>
      <c r="AD36" s="917"/>
      <c r="AE36" s="917"/>
      <c r="AF36" s="917"/>
      <c r="AG36" s="917"/>
      <c r="AH36" s="917"/>
      <c r="AI36" s="918"/>
    </row>
    <row r="37" spans="2:35" ht="22.5" customHeight="1">
      <c r="B37" s="580"/>
      <c r="C37" s="464"/>
      <c r="D37" s="461"/>
      <c r="E37" s="520"/>
      <c r="F37" s="520"/>
      <c r="G37" s="464"/>
      <c r="H37" s="520"/>
      <c r="I37" s="520"/>
      <c r="J37" s="520"/>
      <c r="K37" s="528"/>
      <c r="L37" s="528"/>
      <c r="M37" s="528"/>
      <c r="N37" s="528"/>
      <c r="O37" s="528"/>
      <c r="P37" s="655"/>
      <c r="Q37" s="929">
        <f t="shared" si="0"/>
        <v>0</v>
      </c>
      <c r="R37" s="785"/>
      <c r="S37" s="786"/>
      <c r="T37" s="568"/>
      <c r="V37" s="915"/>
      <c r="W37" s="917"/>
      <c r="X37" s="917"/>
      <c r="Y37" s="917"/>
      <c r="Z37" s="917"/>
      <c r="AA37" s="917"/>
      <c r="AB37" s="917"/>
      <c r="AC37" s="917"/>
      <c r="AD37" s="917"/>
      <c r="AE37" s="917"/>
      <c r="AF37" s="917"/>
      <c r="AG37" s="917"/>
      <c r="AH37" s="917"/>
      <c r="AI37" s="918"/>
    </row>
    <row r="38" spans="2:35" ht="22.5" customHeight="1">
      <c r="B38" s="580"/>
      <c r="C38" s="464"/>
      <c r="D38" s="461"/>
      <c r="E38" s="520"/>
      <c r="F38" s="520"/>
      <c r="G38" s="464"/>
      <c r="H38" s="520"/>
      <c r="I38" s="520"/>
      <c r="J38" s="520"/>
      <c r="K38" s="528"/>
      <c r="L38" s="528"/>
      <c r="M38" s="528"/>
      <c r="N38" s="528"/>
      <c r="O38" s="528"/>
      <c r="P38" s="655"/>
      <c r="Q38" s="929">
        <f t="shared" si="0"/>
        <v>0</v>
      </c>
      <c r="R38" s="785"/>
      <c r="S38" s="786"/>
      <c r="T38" s="568"/>
      <c r="V38" s="915"/>
      <c r="W38" s="917"/>
      <c r="X38" s="917"/>
      <c r="Y38" s="917"/>
      <c r="Z38" s="917"/>
      <c r="AA38" s="917"/>
      <c r="AB38" s="917"/>
      <c r="AC38" s="917"/>
      <c r="AD38" s="917"/>
      <c r="AE38" s="917"/>
      <c r="AF38" s="917"/>
      <c r="AG38" s="917"/>
      <c r="AH38" s="917"/>
      <c r="AI38" s="918"/>
    </row>
    <row r="39" spans="2:35" ht="22.5" customHeight="1">
      <c r="B39" s="580"/>
      <c r="C39" s="464"/>
      <c r="D39" s="461"/>
      <c r="E39" s="520"/>
      <c r="F39" s="520"/>
      <c r="G39" s="464"/>
      <c r="H39" s="520"/>
      <c r="I39" s="520"/>
      <c r="J39" s="520"/>
      <c r="K39" s="528"/>
      <c r="L39" s="528"/>
      <c r="M39" s="528"/>
      <c r="N39" s="528"/>
      <c r="O39" s="528"/>
      <c r="P39" s="655"/>
      <c r="Q39" s="929">
        <f t="shared" si="0"/>
        <v>0</v>
      </c>
      <c r="R39" s="785"/>
      <c r="S39" s="786"/>
      <c r="T39" s="568"/>
      <c r="V39" s="915"/>
      <c r="W39" s="917"/>
      <c r="X39" s="917"/>
      <c r="Y39" s="917"/>
      <c r="Z39" s="917"/>
      <c r="AA39" s="917"/>
      <c r="AB39" s="917"/>
      <c r="AC39" s="917"/>
      <c r="AD39" s="917"/>
      <c r="AE39" s="917"/>
      <c r="AF39" s="917"/>
      <c r="AG39" s="917"/>
      <c r="AH39" s="917"/>
      <c r="AI39" s="918"/>
    </row>
    <row r="40" spans="2:35" ht="22.5" customHeight="1">
      <c r="B40" s="580"/>
      <c r="C40" s="464"/>
      <c r="D40" s="461"/>
      <c r="E40" s="520"/>
      <c r="F40" s="520"/>
      <c r="G40" s="464"/>
      <c r="H40" s="520"/>
      <c r="I40" s="520"/>
      <c r="J40" s="520"/>
      <c r="K40" s="528"/>
      <c r="L40" s="528"/>
      <c r="M40" s="528"/>
      <c r="N40" s="528"/>
      <c r="O40" s="528"/>
      <c r="P40" s="655"/>
      <c r="Q40" s="929">
        <f t="shared" si="0"/>
        <v>0</v>
      </c>
      <c r="R40" s="785"/>
      <c r="S40" s="786"/>
      <c r="T40" s="568"/>
      <c r="V40" s="915"/>
      <c r="W40" s="917"/>
      <c r="X40" s="917"/>
      <c r="Y40" s="917"/>
      <c r="Z40" s="917"/>
      <c r="AA40" s="917"/>
      <c r="AB40" s="917"/>
      <c r="AC40" s="917"/>
      <c r="AD40" s="917"/>
      <c r="AE40" s="917"/>
      <c r="AF40" s="917"/>
      <c r="AG40" s="917"/>
      <c r="AH40" s="917"/>
      <c r="AI40" s="918"/>
    </row>
    <row r="41" spans="2:35" ht="22.5" customHeight="1">
      <c r="B41" s="580"/>
      <c r="C41" s="464"/>
      <c r="D41" s="462"/>
      <c r="E41" s="521"/>
      <c r="F41" s="521"/>
      <c r="G41" s="465"/>
      <c r="H41" s="521"/>
      <c r="I41" s="521"/>
      <c r="J41" s="521"/>
      <c r="K41" s="529"/>
      <c r="L41" s="529"/>
      <c r="M41" s="529"/>
      <c r="N41" s="529"/>
      <c r="O41" s="529"/>
      <c r="P41" s="656"/>
      <c r="Q41" s="930">
        <f>L41+M41-N41</f>
        <v>0</v>
      </c>
      <c r="R41" s="785"/>
      <c r="S41" s="786"/>
      <c r="T41" s="568"/>
      <c r="V41" s="915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8"/>
    </row>
    <row r="42" spans="2:35" ht="22.5" customHeight="1">
      <c r="B42" s="580"/>
      <c r="C42" s="466"/>
      <c r="D42" s="463"/>
      <c r="E42" s="522"/>
      <c r="F42" s="522"/>
      <c r="G42" s="466"/>
      <c r="H42" s="522"/>
      <c r="I42" s="522"/>
      <c r="J42" s="522"/>
      <c r="K42" s="530"/>
      <c r="L42" s="530"/>
      <c r="M42" s="530"/>
      <c r="N42" s="530"/>
      <c r="O42" s="530"/>
      <c r="P42" s="657"/>
      <c r="Q42" s="931">
        <f t="shared" si="0"/>
        <v>0</v>
      </c>
      <c r="R42" s="787"/>
      <c r="S42" s="788"/>
      <c r="T42" s="568"/>
      <c r="V42" s="915"/>
      <c r="W42" s="917"/>
      <c r="X42" s="917"/>
      <c r="Y42" s="917"/>
      <c r="Z42" s="917"/>
      <c r="AA42" s="917"/>
      <c r="AB42" s="917"/>
      <c r="AC42" s="917"/>
      <c r="AD42" s="917"/>
      <c r="AE42" s="917"/>
      <c r="AF42" s="917"/>
      <c r="AG42" s="917"/>
      <c r="AH42" s="917"/>
      <c r="AI42" s="918"/>
    </row>
    <row r="43" spans="2:35" ht="22.5" customHeight="1" thickBot="1">
      <c r="B43" s="580"/>
      <c r="C43" s="558"/>
      <c r="D43" s="558"/>
      <c r="E43" s="909"/>
      <c r="F43" s="909"/>
      <c r="G43" s="909"/>
      <c r="H43" s="1412" t="s">
        <v>700</v>
      </c>
      <c r="I43" s="1413"/>
      <c r="J43" s="1414"/>
      <c r="K43" s="932">
        <f aca="true" t="shared" si="1" ref="K43:S43">SUM(K18:K42)</f>
        <v>52763966</v>
      </c>
      <c r="L43" s="933">
        <f t="shared" si="1"/>
        <v>18889802.54</v>
      </c>
      <c r="M43" s="934">
        <f t="shared" si="1"/>
        <v>0</v>
      </c>
      <c r="N43" s="934">
        <f t="shared" si="1"/>
        <v>7274427.6</v>
      </c>
      <c r="O43" s="932">
        <f t="shared" si="1"/>
        <v>132328.68</v>
      </c>
      <c r="P43" s="932">
        <f t="shared" si="1"/>
        <v>0</v>
      </c>
      <c r="Q43" s="935">
        <f t="shared" si="1"/>
        <v>11615374.94</v>
      </c>
      <c r="R43" s="934">
        <f t="shared" si="1"/>
        <v>3297261.33</v>
      </c>
      <c r="S43" s="616">
        <f t="shared" si="1"/>
        <v>8318113.609999999</v>
      </c>
      <c r="T43" s="568"/>
      <c r="V43" s="936"/>
      <c r="W43" s="917"/>
      <c r="X43" s="917"/>
      <c r="Y43" s="917"/>
      <c r="Z43" s="917"/>
      <c r="AA43" s="917"/>
      <c r="AB43" s="917"/>
      <c r="AC43" s="917"/>
      <c r="AD43" s="917"/>
      <c r="AE43" s="917"/>
      <c r="AF43" s="917"/>
      <c r="AG43" s="917"/>
      <c r="AH43" s="917"/>
      <c r="AI43" s="918"/>
    </row>
    <row r="44" spans="2:35" ht="22.5" customHeight="1">
      <c r="B44" s="580"/>
      <c r="C44" s="558"/>
      <c r="D44" s="558"/>
      <c r="E44" s="909"/>
      <c r="F44" s="909"/>
      <c r="G44" s="909"/>
      <c r="H44" s="937"/>
      <c r="I44" s="937"/>
      <c r="J44" s="937"/>
      <c r="K44" s="909"/>
      <c r="L44" s="909"/>
      <c r="M44" s="909"/>
      <c r="N44" s="909"/>
      <c r="O44" s="909"/>
      <c r="P44" s="909"/>
      <c r="Q44" s="909"/>
      <c r="R44" s="909"/>
      <c r="S44" s="909"/>
      <c r="T44" s="568"/>
      <c r="V44" s="936"/>
      <c r="W44" s="917"/>
      <c r="X44" s="917"/>
      <c r="Y44" s="917"/>
      <c r="Z44" s="917"/>
      <c r="AA44" s="917"/>
      <c r="AB44" s="917"/>
      <c r="AC44" s="917"/>
      <c r="AD44" s="917"/>
      <c r="AE44" s="917"/>
      <c r="AF44" s="917"/>
      <c r="AG44" s="917"/>
      <c r="AH44" s="917"/>
      <c r="AI44" s="918"/>
    </row>
    <row r="45" spans="2:35" ht="22.5" customHeight="1">
      <c r="B45" s="580"/>
      <c r="C45" s="920" t="s">
        <v>1172</v>
      </c>
      <c r="D45" s="886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68"/>
      <c r="V45" s="915"/>
      <c r="W45" s="917"/>
      <c r="X45" s="917"/>
      <c r="Y45" s="917"/>
      <c r="Z45" s="917"/>
      <c r="AA45" s="917"/>
      <c r="AB45" s="917"/>
      <c r="AC45" s="917"/>
      <c r="AD45" s="917"/>
      <c r="AE45" s="917"/>
      <c r="AF45" s="917"/>
      <c r="AG45" s="917"/>
      <c r="AH45" s="917"/>
      <c r="AI45" s="918"/>
    </row>
    <row r="46" spans="2:35" ht="22.5" customHeight="1">
      <c r="B46" s="580"/>
      <c r="C46" s="886"/>
      <c r="D46" s="886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68"/>
      <c r="V46" s="915"/>
      <c r="W46" s="917"/>
      <c r="X46" s="917"/>
      <c r="Y46" s="917"/>
      <c r="Z46" s="917"/>
      <c r="AA46" s="917"/>
      <c r="AB46" s="917"/>
      <c r="AC46" s="917"/>
      <c r="AD46" s="917"/>
      <c r="AE46" s="917"/>
      <c r="AF46" s="917"/>
      <c r="AG46" s="917"/>
      <c r="AH46" s="917"/>
      <c r="AI46" s="918"/>
    </row>
    <row r="47" spans="2:35" ht="22.5" customHeight="1">
      <c r="B47" s="580"/>
      <c r="C47" s="886"/>
      <c r="D47" s="886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68"/>
      <c r="V47" s="915"/>
      <c r="W47" s="917"/>
      <c r="X47" s="917"/>
      <c r="Y47" s="917"/>
      <c r="Z47" s="917"/>
      <c r="AA47" s="917"/>
      <c r="AB47" s="917"/>
      <c r="AC47" s="917"/>
      <c r="AD47" s="917"/>
      <c r="AE47" s="917"/>
      <c r="AF47" s="917"/>
      <c r="AG47" s="917"/>
      <c r="AH47" s="917"/>
      <c r="AI47" s="918"/>
    </row>
    <row r="48" spans="2:35" ht="42" customHeight="1">
      <c r="B48" s="580"/>
      <c r="C48" s="921" t="s">
        <v>693</v>
      </c>
      <c r="D48" s="922" t="s">
        <v>695</v>
      </c>
      <c r="E48" s="921" t="s">
        <v>894</v>
      </c>
      <c r="F48" s="921" t="s">
        <v>894</v>
      </c>
      <c r="G48" s="921" t="s">
        <v>697</v>
      </c>
      <c r="H48" s="921" t="s">
        <v>701</v>
      </c>
      <c r="I48" s="921" t="s">
        <v>703</v>
      </c>
      <c r="J48" s="921" t="s">
        <v>947</v>
      </c>
      <c r="K48" s="921" t="s">
        <v>699</v>
      </c>
      <c r="L48" s="921" t="s">
        <v>896</v>
      </c>
      <c r="M48" s="923" t="s">
        <v>907</v>
      </c>
      <c r="N48" s="921" t="s">
        <v>136</v>
      </c>
      <c r="O48" s="921" t="s">
        <v>137</v>
      </c>
      <c r="P48" s="924" t="s">
        <v>138</v>
      </c>
      <c r="Q48" s="921" t="s">
        <v>896</v>
      </c>
      <c r="R48" s="1410" t="s">
        <v>139</v>
      </c>
      <c r="S48" s="1411"/>
      <c r="T48" s="568"/>
      <c r="V48" s="915"/>
      <c r="W48" s="917"/>
      <c r="X48" s="917"/>
      <c r="Y48" s="917"/>
      <c r="Z48" s="917"/>
      <c r="AA48" s="917"/>
      <c r="AB48" s="917"/>
      <c r="AC48" s="917"/>
      <c r="AD48" s="917"/>
      <c r="AE48" s="917"/>
      <c r="AF48" s="917"/>
      <c r="AG48" s="917"/>
      <c r="AH48" s="917"/>
      <c r="AI48" s="918"/>
    </row>
    <row r="49" spans="2:35" ht="22.5" customHeight="1">
      <c r="B49" s="580"/>
      <c r="C49" s="925" t="s">
        <v>694</v>
      </c>
      <c r="D49" s="926" t="s">
        <v>694</v>
      </c>
      <c r="E49" s="925" t="s">
        <v>696</v>
      </c>
      <c r="F49" s="925" t="s">
        <v>895</v>
      </c>
      <c r="G49" s="925" t="s">
        <v>1173</v>
      </c>
      <c r="H49" s="925" t="s">
        <v>702</v>
      </c>
      <c r="I49" s="925" t="s">
        <v>932</v>
      </c>
      <c r="J49" s="925" t="s">
        <v>1092</v>
      </c>
      <c r="K49" s="925" t="s">
        <v>135</v>
      </c>
      <c r="L49" s="925">
        <f>ejercicio-1</f>
        <v>2019</v>
      </c>
      <c r="M49" s="925">
        <f>ejercicio</f>
        <v>2020</v>
      </c>
      <c r="N49" s="925">
        <f>ejercicio</f>
        <v>2020</v>
      </c>
      <c r="O49" s="925">
        <f>ejercicio</f>
        <v>2020</v>
      </c>
      <c r="P49" s="925">
        <f>ejercicio</f>
        <v>2020</v>
      </c>
      <c r="Q49" s="925">
        <f>ejercicio</f>
        <v>2020</v>
      </c>
      <c r="R49" s="927" t="s">
        <v>897</v>
      </c>
      <c r="S49" s="928" t="s">
        <v>898</v>
      </c>
      <c r="T49" s="568"/>
      <c r="V49" s="915"/>
      <c r="W49" s="917"/>
      <c r="X49" s="917"/>
      <c r="Y49" s="917"/>
      <c r="Z49" s="917"/>
      <c r="AA49" s="917"/>
      <c r="AB49" s="917"/>
      <c r="AC49" s="917"/>
      <c r="AD49" s="917"/>
      <c r="AE49" s="917"/>
      <c r="AF49" s="917"/>
      <c r="AG49" s="917"/>
      <c r="AH49" s="917"/>
      <c r="AI49" s="918"/>
    </row>
    <row r="50" spans="2:35" ht="22.5" customHeight="1">
      <c r="B50" s="580"/>
      <c r="C50" s="464">
        <v>1</v>
      </c>
      <c r="D50" s="884" t="s">
        <v>1072</v>
      </c>
      <c r="E50" s="520"/>
      <c r="F50" s="520"/>
      <c r="G50" s="1155" t="s">
        <v>1073</v>
      </c>
      <c r="H50" s="520" t="s">
        <v>1070</v>
      </c>
      <c r="I50" s="1156" t="s">
        <v>1071</v>
      </c>
      <c r="J50" s="725" t="s">
        <v>1071</v>
      </c>
      <c r="K50" s="528"/>
      <c r="L50" s="528">
        <f>68114.05+46155.11</f>
        <v>114269.16</v>
      </c>
      <c r="M50" s="726"/>
      <c r="N50" s="726">
        <v>28568</v>
      </c>
      <c r="O50" s="726"/>
      <c r="P50" s="655"/>
      <c r="Q50" s="938">
        <f>L50+M50-N50</f>
        <v>85701.16</v>
      </c>
      <c r="R50" s="783">
        <v>17587.11</v>
      </c>
      <c r="S50" s="784">
        <v>68114.05</v>
      </c>
      <c r="T50" s="568"/>
      <c r="V50" s="915"/>
      <c r="W50" s="917"/>
      <c r="X50" s="917"/>
      <c r="Y50" s="917"/>
      <c r="Z50" s="917"/>
      <c r="AA50" s="917"/>
      <c r="AB50" s="917"/>
      <c r="AC50" s="917"/>
      <c r="AD50" s="917"/>
      <c r="AE50" s="917"/>
      <c r="AF50" s="917"/>
      <c r="AG50" s="917"/>
      <c r="AH50" s="917"/>
      <c r="AI50" s="918"/>
    </row>
    <row r="51" spans="2:35" ht="22.5" customHeight="1">
      <c r="B51" s="580"/>
      <c r="C51" s="464">
        <v>2</v>
      </c>
      <c r="D51" s="884" t="s">
        <v>1074</v>
      </c>
      <c r="E51" s="520"/>
      <c r="F51" s="520"/>
      <c r="G51" s="1155" t="s">
        <v>1075</v>
      </c>
      <c r="H51" s="1156" t="s">
        <v>1070</v>
      </c>
      <c r="I51" s="1156" t="s">
        <v>1071</v>
      </c>
      <c r="J51" s="1156" t="s">
        <v>1071</v>
      </c>
      <c r="K51" s="528"/>
      <c r="L51" s="528">
        <v>7013.34</v>
      </c>
      <c r="M51" s="528"/>
      <c r="N51" s="528">
        <v>7013.34</v>
      </c>
      <c r="O51" s="528"/>
      <c r="P51" s="655"/>
      <c r="Q51" s="929">
        <f aca="true" t="shared" si="2" ref="Q51:Q74">L51+M51-N51</f>
        <v>0</v>
      </c>
      <c r="R51" s="785">
        <v>0</v>
      </c>
      <c r="S51" s="786"/>
      <c r="T51" s="568"/>
      <c r="V51" s="915"/>
      <c r="W51" s="917"/>
      <c r="X51" s="917"/>
      <c r="Y51" s="917"/>
      <c r="Z51" s="917"/>
      <c r="AA51" s="917"/>
      <c r="AB51" s="917"/>
      <c r="AC51" s="917"/>
      <c r="AD51" s="917"/>
      <c r="AE51" s="917"/>
      <c r="AF51" s="917"/>
      <c r="AG51" s="917"/>
      <c r="AH51" s="917"/>
      <c r="AI51" s="918"/>
    </row>
    <row r="52" spans="2:35" ht="22.5" customHeight="1">
      <c r="B52" s="580"/>
      <c r="C52" s="464">
        <v>3</v>
      </c>
      <c r="D52" s="884" t="s">
        <v>1211</v>
      </c>
      <c r="E52" s="520"/>
      <c r="F52" s="520"/>
      <c r="G52" s="464"/>
      <c r="H52" s="520" t="s">
        <v>1076</v>
      </c>
      <c r="I52" s="520" t="s">
        <v>1071</v>
      </c>
      <c r="J52" s="520" t="s">
        <v>1071</v>
      </c>
      <c r="K52" s="528"/>
      <c r="L52" s="528">
        <f>90751.95+15109-21732.81</f>
        <v>84128.14</v>
      </c>
      <c r="M52" s="528"/>
      <c r="N52" s="528"/>
      <c r="O52" s="528"/>
      <c r="P52" s="655"/>
      <c r="Q52" s="929">
        <f t="shared" si="2"/>
        <v>84128.14</v>
      </c>
      <c r="R52" s="785">
        <v>84128.14</v>
      </c>
      <c r="S52" s="786"/>
      <c r="T52" s="568"/>
      <c r="V52" s="915"/>
      <c r="W52" s="917"/>
      <c r="X52" s="917"/>
      <c r="Y52" s="917"/>
      <c r="Z52" s="917"/>
      <c r="AA52" s="917"/>
      <c r="AB52" s="917"/>
      <c r="AC52" s="917"/>
      <c r="AD52" s="917"/>
      <c r="AE52" s="917"/>
      <c r="AF52" s="917"/>
      <c r="AG52" s="917"/>
      <c r="AH52" s="917"/>
      <c r="AI52" s="918"/>
    </row>
    <row r="53" spans="2:35" ht="22.5" customHeight="1">
      <c r="B53" s="580"/>
      <c r="C53" s="464">
        <v>4</v>
      </c>
      <c r="D53" s="884" t="s">
        <v>1214</v>
      </c>
      <c r="E53" s="520">
        <v>2019</v>
      </c>
      <c r="F53" s="520">
        <v>2020</v>
      </c>
      <c r="G53" s="1155" t="s">
        <v>1218</v>
      </c>
      <c r="H53" s="1156" t="s">
        <v>1219</v>
      </c>
      <c r="I53" s="520" t="s">
        <v>1071</v>
      </c>
      <c r="J53" s="520" t="s">
        <v>1071</v>
      </c>
      <c r="K53" s="528"/>
      <c r="L53" s="528">
        <v>24000</v>
      </c>
      <c r="M53" s="528"/>
      <c r="N53" s="528">
        <f>+L53</f>
        <v>24000</v>
      </c>
      <c r="O53" s="528"/>
      <c r="P53" s="655"/>
      <c r="Q53" s="929">
        <f t="shared" si="2"/>
        <v>0</v>
      </c>
      <c r="R53" s="785"/>
      <c r="S53" s="786"/>
      <c r="T53" s="568"/>
      <c r="V53" s="915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8"/>
    </row>
    <row r="54" spans="2:35" ht="22.5" customHeight="1">
      <c r="B54" s="580"/>
      <c r="C54" s="464">
        <v>5</v>
      </c>
      <c r="D54" s="884" t="s">
        <v>1215</v>
      </c>
      <c r="E54" s="520">
        <v>2019</v>
      </c>
      <c r="F54" s="520">
        <v>2020</v>
      </c>
      <c r="G54" s="1155" t="s">
        <v>1218</v>
      </c>
      <c r="H54" s="1156" t="s">
        <v>1219</v>
      </c>
      <c r="I54" s="520" t="s">
        <v>1071</v>
      </c>
      <c r="J54" s="520" t="s">
        <v>1071</v>
      </c>
      <c r="K54" s="528"/>
      <c r="L54" s="528">
        <v>200000</v>
      </c>
      <c r="M54" s="528"/>
      <c r="N54" s="528">
        <f>+L54</f>
        <v>200000</v>
      </c>
      <c r="O54" s="528"/>
      <c r="P54" s="655"/>
      <c r="Q54" s="929">
        <f t="shared" si="2"/>
        <v>0</v>
      </c>
      <c r="R54" s="785"/>
      <c r="S54" s="786"/>
      <c r="T54" s="568"/>
      <c r="V54" s="915"/>
      <c r="W54" s="917"/>
      <c r="X54" s="917"/>
      <c r="Y54" s="917"/>
      <c r="Z54" s="917"/>
      <c r="AA54" s="917"/>
      <c r="AB54" s="917"/>
      <c r="AC54" s="917"/>
      <c r="AD54" s="917"/>
      <c r="AE54" s="917"/>
      <c r="AF54" s="917"/>
      <c r="AG54" s="917"/>
      <c r="AH54" s="917"/>
      <c r="AI54" s="918"/>
    </row>
    <row r="55" spans="2:35" ht="22.5" customHeight="1">
      <c r="B55" s="580"/>
      <c r="C55" s="464">
        <v>6</v>
      </c>
      <c r="D55" s="884" t="s">
        <v>1216</v>
      </c>
      <c r="E55" s="520">
        <v>2019</v>
      </c>
      <c r="F55" s="520">
        <v>2020</v>
      </c>
      <c r="G55" s="1155" t="s">
        <v>1218</v>
      </c>
      <c r="H55" s="1156" t="s">
        <v>1219</v>
      </c>
      <c r="I55" s="520" t="s">
        <v>1071</v>
      </c>
      <c r="J55" s="520" t="s">
        <v>1071</v>
      </c>
      <c r="K55" s="528"/>
      <c r="L55" s="528">
        <v>125000</v>
      </c>
      <c r="M55" s="528"/>
      <c r="N55" s="528">
        <f>+L55</f>
        <v>125000</v>
      </c>
      <c r="O55" s="528"/>
      <c r="P55" s="655"/>
      <c r="Q55" s="929">
        <f t="shared" si="2"/>
        <v>0</v>
      </c>
      <c r="R55" s="785"/>
      <c r="S55" s="786"/>
      <c r="T55" s="568"/>
      <c r="V55" s="915"/>
      <c r="W55" s="917"/>
      <c r="X55" s="917"/>
      <c r="Y55" s="917"/>
      <c r="Z55" s="917"/>
      <c r="AA55" s="917"/>
      <c r="AB55" s="917"/>
      <c r="AC55" s="917"/>
      <c r="AD55" s="917"/>
      <c r="AE55" s="917"/>
      <c r="AF55" s="917"/>
      <c r="AG55" s="917"/>
      <c r="AH55" s="917"/>
      <c r="AI55" s="918"/>
    </row>
    <row r="56" spans="2:35" ht="22.5" customHeight="1">
      <c r="B56" s="580"/>
      <c r="C56" s="464">
        <v>7</v>
      </c>
      <c r="D56" s="884" t="s">
        <v>1217</v>
      </c>
      <c r="E56" s="520">
        <v>2019</v>
      </c>
      <c r="F56" s="520">
        <v>2020</v>
      </c>
      <c r="G56" s="1155" t="s">
        <v>1218</v>
      </c>
      <c r="H56" s="1156" t="s">
        <v>1219</v>
      </c>
      <c r="I56" s="520" t="s">
        <v>1071</v>
      </c>
      <c r="J56" s="520" t="s">
        <v>1071</v>
      </c>
      <c r="K56" s="528"/>
      <c r="L56" s="528">
        <v>90000</v>
      </c>
      <c r="M56" s="528"/>
      <c r="N56" s="528">
        <f>+L56</f>
        <v>90000</v>
      </c>
      <c r="O56" s="528"/>
      <c r="P56" s="655"/>
      <c r="Q56" s="929">
        <f t="shared" si="2"/>
        <v>0</v>
      </c>
      <c r="R56" s="785"/>
      <c r="S56" s="786"/>
      <c r="T56" s="568"/>
      <c r="V56" s="915"/>
      <c r="W56" s="917"/>
      <c r="X56" s="917"/>
      <c r="Y56" s="917"/>
      <c r="Z56" s="917"/>
      <c r="AA56" s="917"/>
      <c r="AB56" s="917"/>
      <c r="AC56" s="917"/>
      <c r="AD56" s="917"/>
      <c r="AE56" s="917"/>
      <c r="AF56" s="917"/>
      <c r="AG56" s="917"/>
      <c r="AH56" s="917"/>
      <c r="AI56" s="918"/>
    </row>
    <row r="57" spans="2:35" ht="22.5" customHeight="1">
      <c r="B57" s="580"/>
      <c r="C57" s="464"/>
      <c r="D57" s="461"/>
      <c r="E57" s="520"/>
      <c r="F57" s="520"/>
      <c r="G57" s="464"/>
      <c r="H57" s="520"/>
      <c r="I57" s="520"/>
      <c r="J57" s="520"/>
      <c r="K57" s="528"/>
      <c r="L57" s="528"/>
      <c r="M57" s="528"/>
      <c r="N57" s="528"/>
      <c r="O57" s="528"/>
      <c r="P57" s="655"/>
      <c r="Q57" s="929">
        <f t="shared" si="2"/>
        <v>0</v>
      </c>
      <c r="R57" s="785"/>
      <c r="S57" s="786"/>
      <c r="T57" s="568"/>
      <c r="V57" s="915"/>
      <c r="W57" s="917"/>
      <c r="X57" s="917"/>
      <c r="Y57" s="917"/>
      <c r="Z57" s="917"/>
      <c r="AA57" s="917"/>
      <c r="AB57" s="917"/>
      <c r="AC57" s="917"/>
      <c r="AD57" s="917"/>
      <c r="AE57" s="917"/>
      <c r="AF57" s="917"/>
      <c r="AG57" s="917"/>
      <c r="AH57" s="917"/>
      <c r="AI57" s="918"/>
    </row>
    <row r="58" spans="2:35" ht="22.5" customHeight="1">
      <c r="B58" s="580"/>
      <c r="C58" s="464"/>
      <c r="D58" s="461"/>
      <c r="E58" s="520"/>
      <c r="F58" s="520"/>
      <c r="G58" s="464"/>
      <c r="H58" s="520"/>
      <c r="I58" s="520"/>
      <c r="J58" s="520"/>
      <c r="K58" s="528"/>
      <c r="L58" s="528"/>
      <c r="M58" s="528"/>
      <c r="N58" s="528"/>
      <c r="O58" s="528"/>
      <c r="P58" s="655"/>
      <c r="Q58" s="929">
        <f t="shared" si="2"/>
        <v>0</v>
      </c>
      <c r="R58" s="785"/>
      <c r="S58" s="786"/>
      <c r="T58" s="568"/>
      <c r="V58" s="915"/>
      <c r="W58" s="917"/>
      <c r="X58" s="917"/>
      <c r="Y58" s="917"/>
      <c r="Z58" s="917"/>
      <c r="AA58" s="917"/>
      <c r="AB58" s="917"/>
      <c r="AC58" s="917"/>
      <c r="AD58" s="917"/>
      <c r="AE58" s="917"/>
      <c r="AF58" s="917"/>
      <c r="AG58" s="917"/>
      <c r="AH58" s="917"/>
      <c r="AI58" s="918"/>
    </row>
    <row r="59" spans="2:35" ht="22.5" customHeight="1">
      <c r="B59" s="580"/>
      <c r="C59" s="464"/>
      <c r="D59" s="461"/>
      <c r="E59" s="520"/>
      <c r="F59" s="520"/>
      <c r="G59" s="464"/>
      <c r="H59" s="520"/>
      <c r="I59" s="520"/>
      <c r="J59" s="520"/>
      <c r="K59" s="528"/>
      <c r="L59" s="528"/>
      <c r="M59" s="528"/>
      <c r="N59" s="528"/>
      <c r="O59" s="528"/>
      <c r="P59" s="655"/>
      <c r="Q59" s="929">
        <f t="shared" si="2"/>
        <v>0</v>
      </c>
      <c r="R59" s="785"/>
      <c r="S59" s="786"/>
      <c r="T59" s="568"/>
      <c r="V59" s="915"/>
      <c r="W59" s="917"/>
      <c r="X59" s="917"/>
      <c r="Y59" s="917"/>
      <c r="Z59" s="917"/>
      <c r="AA59" s="917"/>
      <c r="AB59" s="917"/>
      <c r="AC59" s="917"/>
      <c r="AD59" s="917"/>
      <c r="AE59" s="917"/>
      <c r="AF59" s="917"/>
      <c r="AG59" s="917"/>
      <c r="AH59" s="917"/>
      <c r="AI59" s="918"/>
    </row>
    <row r="60" spans="2:35" ht="22.5" customHeight="1">
      <c r="B60" s="580"/>
      <c r="C60" s="464"/>
      <c r="D60" s="461"/>
      <c r="E60" s="520"/>
      <c r="F60" s="520"/>
      <c r="G60" s="464"/>
      <c r="H60" s="520"/>
      <c r="I60" s="520"/>
      <c r="J60" s="520"/>
      <c r="K60" s="528"/>
      <c r="L60" s="528"/>
      <c r="M60" s="528"/>
      <c r="N60" s="528"/>
      <c r="O60" s="528"/>
      <c r="P60" s="655"/>
      <c r="Q60" s="929">
        <f t="shared" si="2"/>
        <v>0</v>
      </c>
      <c r="R60" s="785"/>
      <c r="S60" s="786"/>
      <c r="T60" s="568"/>
      <c r="V60" s="915"/>
      <c r="W60" s="917"/>
      <c r="X60" s="917"/>
      <c r="Y60" s="917"/>
      <c r="Z60" s="917"/>
      <c r="AA60" s="917"/>
      <c r="AB60" s="917"/>
      <c r="AC60" s="917"/>
      <c r="AD60" s="917"/>
      <c r="AE60" s="917"/>
      <c r="AF60" s="917"/>
      <c r="AG60" s="917"/>
      <c r="AH60" s="917"/>
      <c r="AI60" s="918"/>
    </row>
    <row r="61" spans="2:35" ht="22.5" customHeight="1">
      <c r="B61" s="580"/>
      <c r="C61" s="464"/>
      <c r="D61" s="461"/>
      <c r="E61" s="520"/>
      <c r="F61" s="520"/>
      <c r="G61" s="464"/>
      <c r="H61" s="520"/>
      <c r="I61" s="520"/>
      <c r="J61" s="520"/>
      <c r="K61" s="528"/>
      <c r="L61" s="528"/>
      <c r="M61" s="528"/>
      <c r="N61" s="528"/>
      <c r="O61" s="528"/>
      <c r="P61" s="655"/>
      <c r="Q61" s="929">
        <f t="shared" si="2"/>
        <v>0</v>
      </c>
      <c r="R61" s="785"/>
      <c r="S61" s="786"/>
      <c r="T61" s="568"/>
      <c r="V61" s="915"/>
      <c r="W61" s="917"/>
      <c r="X61" s="917"/>
      <c r="Y61" s="917"/>
      <c r="Z61" s="917"/>
      <c r="AA61" s="917"/>
      <c r="AB61" s="917"/>
      <c r="AC61" s="917"/>
      <c r="AD61" s="917"/>
      <c r="AE61" s="917"/>
      <c r="AF61" s="917"/>
      <c r="AG61" s="917"/>
      <c r="AH61" s="917"/>
      <c r="AI61" s="918"/>
    </row>
    <row r="62" spans="2:35" ht="22.5" customHeight="1">
      <c r="B62" s="580"/>
      <c r="C62" s="464"/>
      <c r="D62" s="461"/>
      <c r="E62" s="520"/>
      <c r="F62" s="520"/>
      <c r="G62" s="464"/>
      <c r="H62" s="520"/>
      <c r="I62" s="520"/>
      <c r="J62" s="520"/>
      <c r="K62" s="528"/>
      <c r="L62" s="528"/>
      <c r="M62" s="528"/>
      <c r="N62" s="528"/>
      <c r="O62" s="528"/>
      <c r="P62" s="655"/>
      <c r="Q62" s="929">
        <f t="shared" si="2"/>
        <v>0</v>
      </c>
      <c r="R62" s="785"/>
      <c r="S62" s="786"/>
      <c r="T62" s="568"/>
      <c r="V62" s="915"/>
      <c r="W62" s="917"/>
      <c r="X62" s="917"/>
      <c r="Y62" s="917"/>
      <c r="Z62" s="917"/>
      <c r="AA62" s="917"/>
      <c r="AB62" s="917"/>
      <c r="AC62" s="917"/>
      <c r="AD62" s="917"/>
      <c r="AE62" s="917"/>
      <c r="AF62" s="917"/>
      <c r="AG62" s="917"/>
      <c r="AH62" s="917"/>
      <c r="AI62" s="918"/>
    </row>
    <row r="63" spans="2:35" ht="22.5" customHeight="1">
      <c r="B63" s="580"/>
      <c r="C63" s="464"/>
      <c r="D63" s="461"/>
      <c r="E63" s="520"/>
      <c r="F63" s="520"/>
      <c r="G63" s="464"/>
      <c r="H63" s="520"/>
      <c r="I63" s="520"/>
      <c r="J63" s="520"/>
      <c r="K63" s="528"/>
      <c r="L63" s="528"/>
      <c r="M63" s="528"/>
      <c r="N63" s="528"/>
      <c r="O63" s="528"/>
      <c r="P63" s="655"/>
      <c r="Q63" s="929">
        <f t="shared" si="2"/>
        <v>0</v>
      </c>
      <c r="R63" s="785"/>
      <c r="S63" s="786"/>
      <c r="T63" s="568"/>
      <c r="V63" s="915"/>
      <c r="W63" s="917"/>
      <c r="X63" s="917"/>
      <c r="Y63" s="917"/>
      <c r="Z63" s="917"/>
      <c r="AA63" s="917"/>
      <c r="AB63" s="917"/>
      <c r="AC63" s="917"/>
      <c r="AD63" s="917"/>
      <c r="AE63" s="917"/>
      <c r="AF63" s="917"/>
      <c r="AG63" s="917"/>
      <c r="AH63" s="917"/>
      <c r="AI63" s="918"/>
    </row>
    <row r="64" spans="2:35" ht="22.5" customHeight="1">
      <c r="B64" s="580"/>
      <c r="C64" s="464"/>
      <c r="D64" s="461"/>
      <c r="E64" s="520"/>
      <c r="F64" s="520"/>
      <c r="G64" s="464"/>
      <c r="H64" s="520"/>
      <c r="I64" s="520"/>
      <c r="J64" s="520"/>
      <c r="K64" s="528"/>
      <c r="L64" s="528"/>
      <c r="M64" s="528"/>
      <c r="N64" s="528"/>
      <c r="O64" s="528"/>
      <c r="P64" s="655"/>
      <c r="Q64" s="929">
        <f t="shared" si="2"/>
        <v>0</v>
      </c>
      <c r="R64" s="785"/>
      <c r="S64" s="786"/>
      <c r="T64" s="568"/>
      <c r="V64" s="915"/>
      <c r="W64" s="917"/>
      <c r="X64" s="917"/>
      <c r="Y64" s="917"/>
      <c r="Z64" s="917"/>
      <c r="AA64" s="917"/>
      <c r="AB64" s="917"/>
      <c r="AC64" s="917"/>
      <c r="AD64" s="917"/>
      <c r="AE64" s="917"/>
      <c r="AF64" s="917"/>
      <c r="AG64" s="917"/>
      <c r="AH64" s="917"/>
      <c r="AI64" s="918"/>
    </row>
    <row r="65" spans="2:35" ht="22.5" customHeight="1">
      <c r="B65" s="580"/>
      <c r="C65" s="464"/>
      <c r="D65" s="461"/>
      <c r="E65" s="520"/>
      <c r="F65" s="520"/>
      <c r="G65" s="464"/>
      <c r="H65" s="520"/>
      <c r="I65" s="520"/>
      <c r="J65" s="520"/>
      <c r="K65" s="528"/>
      <c r="L65" s="528"/>
      <c r="M65" s="528"/>
      <c r="N65" s="528"/>
      <c r="O65" s="528"/>
      <c r="P65" s="655"/>
      <c r="Q65" s="929">
        <f t="shared" si="2"/>
        <v>0</v>
      </c>
      <c r="R65" s="785"/>
      <c r="S65" s="786"/>
      <c r="T65" s="568"/>
      <c r="V65" s="915"/>
      <c r="W65" s="917"/>
      <c r="X65" s="917"/>
      <c r="Y65" s="917"/>
      <c r="Z65" s="917"/>
      <c r="AA65" s="917"/>
      <c r="AB65" s="917"/>
      <c r="AC65" s="917"/>
      <c r="AD65" s="917"/>
      <c r="AE65" s="917"/>
      <c r="AF65" s="917"/>
      <c r="AG65" s="917"/>
      <c r="AH65" s="917"/>
      <c r="AI65" s="918"/>
    </row>
    <row r="66" spans="2:35" ht="22.5" customHeight="1">
      <c r="B66" s="580"/>
      <c r="C66" s="464"/>
      <c r="D66" s="461"/>
      <c r="E66" s="520"/>
      <c r="F66" s="520"/>
      <c r="G66" s="464"/>
      <c r="H66" s="520"/>
      <c r="I66" s="520"/>
      <c r="J66" s="520"/>
      <c r="K66" s="528"/>
      <c r="L66" s="528"/>
      <c r="M66" s="528"/>
      <c r="N66" s="528"/>
      <c r="O66" s="528"/>
      <c r="P66" s="655"/>
      <c r="Q66" s="929">
        <f t="shared" si="2"/>
        <v>0</v>
      </c>
      <c r="R66" s="785"/>
      <c r="S66" s="786"/>
      <c r="T66" s="568"/>
      <c r="V66" s="915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8"/>
    </row>
    <row r="67" spans="2:35" ht="22.5" customHeight="1">
      <c r="B67" s="580"/>
      <c r="C67" s="464"/>
      <c r="D67" s="461"/>
      <c r="E67" s="520"/>
      <c r="F67" s="520"/>
      <c r="G67" s="464"/>
      <c r="H67" s="520"/>
      <c r="I67" s="520"/>
      <c r="J67" s="520"/>
      <c r="K67" s="528"/>
      <c r="L67" s="528"/>
      <c r="M67" s="528"/>
      <c r="N67" s="528"/>
      <c r="O67" s="528"/>
      <c r="P67" s="655"/>
      <c r="Q67" s="929">
        <f t="shared" si="2"/>
        <v>0</v>
      </c>
      <c r="R67" s="785"/>
      <c r="S67" s="786"/>
      <c r="T67" s="568"/>
      <c r="V67" s="915"/>
      <c r="W67" s="917"/>
      <c r="X67" s="917"/>
      <c r="Y67" s="917"/>
      <c r="Z67" s="917"/>
      <c r="AA67" s="917"/>
      <c r="AB67" s="917"/>
      <c r="AC67" s="917"/>
      <c r="AD67" s="917"/>
      <c r="AE67" s="917"/>
      <c r="AF67" s="917"/>
      <c r="AG67" s="917"/>
      <c r="AH67" s="917"/>
      <c r="AI67" s="918"/>
    </row>
    <row r="68" spans="2:35" ht="22.5" customHeight="1">
      <c r="B68" s="580"/>
      <c r="C68" s="464"/>
      <c r="D68" s="461"/>
      <c r="E68" s="520"/>
      <c r="F68" s="520"/>
      <c r="G68" s="464"/>
      <c r="H68" s="520"/>
      <c r="I68" s="520"/>
      <c r="J68" s="520"/>
      <c r="K68" s="528"/>
      <c r="L68" s="528"/>
      <c r="M68" s="528"/>
      <c r="N68" s="528"/>
      <c r="O68" s="528"/>
      <c r="P68" s="655"/>
      <c r="Q68" s="929">
        <f t="shared" si="2"/>
        <v>0</v>
      </c>
      <c r="R68" s="785"/>
      <c r="S68" s="786"/>
      <c r="T68" s="568"/>
      <c r="V68" s="915"/>
      <c r="W68" s="917"/>
      <c r="X68" s="917"/>
      <c r="Y68" s="917"/>
      <c r="Z68" s="917"/>
      <c r="AA68" s="917"/>
      <c r="AB68" s="917"/>
      <c r="AC68" s="917"/>
      <c r="AD68" s="917"/>
      <c r="AE68" s="917"/>
      <c r="AF68" s="917"/>
      <c r="AG68" s="917"/>
      <c r="AH68" s="917"/>
      <c r="AI68" s="918"/>
    </row>
    <row r="69" spans="2:35" ht="22.5" customHeight="1">
      <c r="B69" s="580"/>
      <c r="C69" s="464"/>
      <c r="D69" s="461"/>
      <c r="E69" s="520"/>
      <c r="F69" s="520"/>
      <c r="G69" s="464"/>
      <c r="H69" s="520"/>
      <c r="I69" s="520"/>
      <c r="J69" s="520"/>
      <c r="K69" s="528"/>
      <c r="L69" s="528"/>
      <c r="M69" s="528"/>
      <c r="N69" s="528"/>
      <c r="O69" s="528"/>
      <c r="P69" s="655"/>
      <c r="Q69" s="929">
        <f t="shared" si="2"/>
        <v>0</v>
      </c>
      <c r="R69" s="785"/>
      <c r="S69" s="786"/>
      <c r="T69" s="568"/>
      <c r="V69" s="915"/>
      <c r="W69" s="917"/>
      <c r="X69" s="917"/>
      <c r="Y69" s="917"/>
      <c r="Z69" s="917"/>
      <c r="AA69" s="917"/>
      <c r="AB69" s="917"/>
      <c r="AC69" s="917"/>
      <c r="AD69" s="917"/>
      <c r="AE69" s="917"/>
      <c r="AF69" s="917"/>
      <c r="AG69" s="917"/>
      <c r="AH69" s="917"/>
      <c r="AI69" s="918"/>
    </row>
    <row r="70" spans="2:35" ht="22.5" customHeight="1">
      <c r="B70" s="580"/>
      <c r="C70" s="464"/>
      <c r="D70" s="461"/>
      <c r="E70" s="520"/>
      <c r="F70" s="520"/>
      <c r="G70" s="464"/>
      <c r="H70" s="520"/>
      <c r="I70" s="520"/>
      <c r="J70" s="520"/>
      <c r="K70" s="528"/>
      <c r="L70" s="528"/>
      <c r="M70" s="528"/>
      <c r="N70" s="528"/>
      <c r="O70" s="528"/>
      <c r="P70" s="655"/>
      <c r="Q70" s="929">
        <f t="shared" si="2"/>
        <v>0</v>
      </c>
      <c r="R70" s="785"/>
      <c r="S70" s="786"/>
      <c r="T70" s="568"/>
      <c r="V70" s="915"/>
      <c r="W70" s="917"/>
      <c r="X70" s="917"/>
      <c r="Y70" s="917"/>
      <c r="Z70" s="917"/>
      <c r="AA70" s="917"/>
      <c r="AB70" s="917"/>
      <c r="AC70" s="917"/>
      <c r="AD70" s="917"/>
      <c r="AE70" s="917"/>
      <c r="AF70" s="917"/>
      <c r="AG70" s="917"/>
      <c r="AH70" s="917"/>
      <c r="AI70" s="918"/>
    </row>
    <row r="71" spans="2:35" ht="22.5" customHeight="1">
      <c r="B71" s="580"/>
      <c r="C71" s="464"/>
      <c r="D71" s="461"/>
      <c r="E71" s="520"/>
      <c r="F71" s="520"/>
      <c r="G71" s="464"/>
      <c r="H71" s="520"/>
      <c r="I71" s="520"/>
      <c r="J71" s="520"/>
      <c r="K71" s="528"/>
      <c r="L71" s="528"/>
      <c r="M71" s="528"/>
      <c r="N71" s="528"/>
      <c r="O71" s="528"/>
      <c r="P71" s="655"/>
      <c r="Q71" s="929">
        <f t="shared" si="2"/>
        <v>0</v>
      </c>
      <c r="R71" s="785"/>
      <c r="S71" s="786"/>
      <c r="T71" s="568"/>
      <c r="V71" s="915"/>
      <c r="W71" s="917"/>
      <c r="X71" s="917"/>
      <c r="Y71" s="917"/>
      <c r="Z71" s="917"/>
      <c r="AA71" s="917"/>
      <c r="AB71" s="917"/>
      <c r="AC71" s="917"/>
      <c r="AD71" s="917"/>
      <c r="AE71" s="917"/>
      <c r="AF71" s="917"/>
      <c r="AG71" s="917"/>
      <c r="AH71" s="917"/>
      <c r="AI71" s="918"/>
    </row>
    <row r="72" spans="2:35" ht="22.5" customHeight="1">
      <c r="B72" s="580"/>
      <c r="C72" s="464"/>
      <c r="D72" s="461"/>
      <c r="E72" s="520"/>
      <c r="F72" s="520"/>
      <c r="G72" s="464"/>
      <c r="H72" s="520"/>
      <c r="I72" s="520"/>
      <c r="J72" s="520"/>
      <c r="K72" s="528"/>
      <c r="L72" s="528"/>
      <c r="M72" s="528"/>
      <c r="N72" s="528"/>
      <c r="O72" s="528"/>
      <c r="P72" s="655"/>
      <c r="Q72" s="929">
        <f t="shared" si="2"/>
        <v>0</v>
      </c>
      <c r="R72" s="785"/>
      <c r="S72" s="786"/>
      <c r="T72" s="568"/>
      <c r="V72" s="915"/>
      <c r="W72" s="917"/>
      <c r="X72" s="917"/>
      <c r="Y72" s="917"/>
      <c r="Z72" s="917"/>
      <c r="AA72" s="917"/>
      <c r="AB72" s="917"/>
      <c r="AC72" s="917"/>
      <c r="AD72" s="917"/>
      <c r="AE72" s="917"/>
      <c r="AF72" s="917"/>
      <c r="AG72" s="917"/>
      <c r="AH72" s="917"/>
      <c r="AI72" s="918"/>
    </row>
    <row r="73" spans="2:35" ht="22.5" customHeight="1">
      <c r="B73" s="580"/>
      <c r="C73" s="464"/>
      <c r="D73" s="462"/>
      <c r="E73" s="521"/>
      <c r="F73" s="521"/>
      <c r="G73" s="465"/>
      <c r="H73" s="521"/>
      <c r="I73" s="521"/>
      <c r="J73" s="521"/>
      <c r="K73" s="529"/>
      <c r="L73" s="529"/>
      <c r="M73" s="529"/>
      <c r="N73" s="529"/>
      <c r="O73" s="529"/>
      <c r="P73" s="656"/>
      <c r="Q73" s="930">
        <f t="shared" si="2"/>
        <v>0</v>
      </c>
      <c r="R73" s="785"/>
      <c r="S73" s="786"/>
      <c r="T73" s="568"/>
      <c r="V73" s="915"/>
      <c r="W73" s="917"/>
      <c r="X73" s="917"/>
      <c r="Y73" s="917"/>
      <c r="Z73" s="917"/>
      <c r="AA73" s="917"/>
      <c r="AB73" s="917"/>
      <c r="AC73" s="917"/>
      <c r="AD73" s="917"/>
      <c r="AE73" s="917"/>
      <c r="AF73" s="917"/>
      <c r="AG73" s="917"/>
      <c r="AH73" s="917"/>
      <c r="AI73" s="918"/>
    </row>
    <row r="74" spans="2:35" ht="22.5" customHeight="1">
      <c r="B74" s="580"/>
      <c r="C74" s="466"/>
      <c r="D74" s="463"/>
      <c r="E74" s="522"/>
      <c r="F74" s="522"/>
      <c r="G74" s="466"/>
      <c r="H74" s="522"/>
      <c r="I74" s="522"/>
      <c r="J74" s="522"/>
      <c r="K74" s="530"/>
      <c r="L74" s="530"/>
      <c r="M74" s="530"/>
      <c r="N74" s="530"/>
      <c r="O74" s="530"/>
      <c r="P74" s="657"/>
      <c r="Q74" s="931">
        <f t="shared" si="2"/>
        <v>0</v>
      </c>
      <c r="R74" s="787"/>
      <c r="S74" s="788"/>
      <c r="T74" s="568"/>
      <c r="V74" s="915"/>
      <c r="W74" s="917"/>
      <c r="X74" s="917"/>
      <c r="Y74" s="917"/>
      <c r="Z74" s="917"/>
      <c r="AA74" s="917"/>
      <c r="AB74" s="917"/>
      <c r="AC74" s="917"/>
      <c r="AD74" s="917"/>
      <c r="AE74" s="917"/>
      <c r="AF74" s="917"/>
      <c r="AG74" s="917"/>
      <c r="AH74" s="917"/>
      <c r="AI74" s="918"/>
    </row>
    <row r="75" spans="2:35" ht="22.5" customHeight="1" thickBot="1">
      <c r="B75" s="580"/>
      <c r="C75" s="558"/>
      <c r="D75" s="558"/>
      <c r="E75" s="909"/>
      <c r="F75" s="909"/>
      <c r="G75" s="909"/>
      <c r="H75" s="1412" t="s">
        <v>700</v>
      </c>
      <c r="I75" s="1413"/>
      <c r="J75" s="1414"/>
      <c r="K75" s="932">
        <f aca="true" t="shared" si="3" ref="K75:S75">SUM(K50:K74)</f>
        <v>0</v>
      </c>
      <c r="L75" s="933">
        <f t="shared" si="3"/>
        <v>644410.64</v>
      </c>
      <c r="M75" s="934">
        <f t="shared" si="3"/>
        <v>0</v>
      </c>
      <c r="N75" s="934">
        <f t="shared" si="3"/>
        <v>474581.33999999997</v>
      </c>
      <c r="O75" s="932">
        <f t="shared" si="3"/>
        <v>0</v>
      </c>
      <c r="P75" s="932">
        <f t="shared" si="3"/>
        <v>0</v>
      </c>
      <c r="Q75" s="935">
        <f t="shared" si="3"/>
        <v>169829.3</v>
      </c>
      <c r="R75" s="934">
        <f t="shared" si="3"/>
        <v>101715.25</v>
      </c>
      <c r="S75" s="616">
        <f t="shared" si="3"/>
        <v>68114.05</v>
      </c>
      <c r="T75" s="568"/>
      <c r="V75" s="915"/>
      <c r="W75" s="917"/>
      <c r="X75" s="917"/>
      <c r="Y75" s="917"/>
      <c r="Z75" s="917"/>
      <c r="AA75" s="917"/>
      <c r="AB75" s="917"/>
      <c r="AC75" s="917"/>
      <c r="AD75" s="917"/>
      <c r="AE75" s="917"/>
      <c r="AF75" s="917"/>
      <c r="AG75" s="917"/>
      <c r="AH75" s="917"/>
      <c r="AI75" s="918"/>
    </row>
    <row r="76" spans="2:35" ht="22.5" customHeight="1">
      <c r="B76" s="580"/>
      <c r="C76" s="558"/>
      <c r="D76" s="558"/>
      <c r="E76" s="909"/>
      <c r="F76" s="909"/>
      <c r="G76" s="909"/>
      <c r="H76" s="937"/>
      <c r="I76" s="937"/>
      <c r="J76" s="937"/>
      <c r="K76" s="909"/>
      <c r="L76" s="909"/>
      <c r="M76" s="909"/>
      <c r="N76" s="909"/>
      <c r="O76" s="909"/>
      <c r="P76" s="909"/>
      <c r="Q76" s="909"/>
      <c r="R76" s="909"/>
      <c r="S76" s="909"/>
      <c r="T76" s="568"/>
      <c r="V76" s="915"/>
      <c r="W76" s="917"/>
      <c r="X76" s="917"/>
      <c r="Y76" s="917"/>
      <c r="Z76" s="917"/>
      <c r="AA76" s="917"/>
      <c r="AB76" s="917"/>
      <c r="AC76" s="917"/>
      <c r="AD76" s="917"/>
      <c r="AE76" s="917"/>
      <c r="AF76" s="917"/>
      <c r="AG76" s="917"/>
      <c r="AH76" s="917"/>
      <c r="AI76" s="918"/>
    </row>
    <row r="77" spans="2:35" ht="22.5" customHeight="1">
      <c r="B77" s="580"/>
      <c r="C77" s="920" t="s">
        <v>1174</v>
      </c>
      <c r="D77" s="886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8"/>
      <c r="T77" s="568"/>
      <c r="V77" s="915"/>
      <c r="W77" s="917"/>
      <c r="X77" s="917"/>
      <c r="Y77" s="917"/>
      <c r="Z77" s="917"/>
      <c r="AA77" s="917"/>
      <c r="AB77" s="917"/>
      <c r="AC77" s="917"/>
      <c r="AD77" s="917"/>
      <c r="AE77" s="917"/>
      <c r="AF77" s="917"/>
      <c r="AG77" s="917"/>
      <c r="AH77" s="917"/>
      <c r="AI77" s="918"/>
    </row>
    <row r="78" spans="2:35" ht="22.5" customHeight="1">
      <c r="B78" s="580"/>
      <c r="C78" s="886"/>
      <c r="D78" s="886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68"/>
      <c r="V78" s="915"/>
      <c r="W78" s="917"/>
      <c r="X78" s="917"/>
      <c r="Y78" s="917"/>
      <c r="Z78" s="917"/>
      <c r="AA78" s="917"/>
      <c r="AB78" s="917"/>
      <c r="AC78" s="917"/>
      <c r="AD78" s="917"/>
      <c r="AE78" s="917"/>
      <c r="AF78" s="917"/>
      <c r="AG78" s="917"/>
      <c r="AH78" s="917"/>
      <c r="AI78" s="918"/>
    </row>
    <row r="79" spans="2:35" ht="22.5" customHeight="1">
      <c r="B79" s="580"/>
      <c r="C79" s="886"/>
      <c r="D79" s="886"/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578"/>
      <c r="T79" s="568"/>
      <c r="V79" s="915"/>
      <c r="W79" s="917"/>
      <c r="X79" s="917"/>
      <c r="Y79" s="917"/>
      <c r="Z79" s="917"/>
      <c r="AA79" s="917"/>
      <c r="AB79" s="917"/>
      <c r="AC79" s="917"/>
      <c r="AD79" s="917"/>
      <c r="AE79" s="917"/>
      <c r="AF79" s="917"/>
      <c r="AG79" s="917"/>
      <c r="AH79" s="917"/>
      <c r="AI79" s="918"/>
    </row>
    <row r="80" spans="2:35" ht="37.5" customHeight="1">
      <c r="B80" s="580"/>
      <c r="C80" s="921" t="s">
        <v>693</v>
      </c>
      <c r="D80" s="922" t="s">
        <v>695</v>
      </c>
      <c r="E80" s="921" t="s">
        <v>894</v>
      </c>
      <c r="F80" s="921" t="s">
        <v>894</v>
      </c>
      <c r="G80" s="921" t="s">
        <v>697</v>
      </c>
      <c r="H80" s="921" t="s">
        <v>701</v>
      </c>
      <c r="I80" s="921" t="s">
        <v>703</v>
      </c>
      <c r="J80" s="921" t="s">
        <v>947</v>
      </c>
      <c r="K80" s="921" t="s">
        <v>699</v>
      </c>
      <c r="L80" s="921" t="s">
        <v>896</v>
      </c>
      <c r="M80" s="923" t="s">
        <v>907</v>
      </c>
      <c r="N80" s="921" t="s">
        <v>136</v>
      </c>
      <c r="O80" s="921" t="s">
        <v>137</v>
      </c>
      <c r="P80" s="924" t="s">
        <v>138</v>
      </c>
      <c r="Q80" s="921" t="s">
        <v>896</v>
      </c>
      <c r="R80" s="1410" t="s">
        <v>139</v>
      </c>
      <c r="S80" s="1411"/>
      <c r="T80" s="568"/>
      <c r="V80" s="915"/>
      <c r="W80" s="917"/>
      <c r="X80" s="917"/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8"/>
    </row>
    <row r="81" spans="2:35" ht="22.5" customHeight="1">
      <c r="B81" s="580"/>
      <c r="C81" s="925" t="s">
        <v>694</v>
      </c>
      <c r="D81" s="926" t="s">
        <v>694</v>
      </c>
      <c r="E81" s="925" t="s">
        <v>696</v>
      </c>
      <c r="F81" s="925" t="s">
        <v>895</v>
      </c>
      <c r="G81" s="925" t="s">
        <v>1173</v>
      </c>
      <c r="H81" s="925" t="s">
        <v>702</v>
      </c>
      <c r="I81" s="925" t="s">
        <v>932</v>
      </c>
      <c r="J81" s="925" t="s">
        <v>1092</v>
      </c>
      <c r="K81" s="925" t="s">
        <v>135</v>
      </c>
      <c r="L81" s="925">
        <f>ejercicio-1</f>
        <v>2019</v>
      </c>
      <c r="M81" s="925">
        <f>ejercicio</f>
        <v>2020</v>
      </c>
      <c r="N81" s="925">
        <f>ejercicio</f>
        <v>2020</v>
      </c>
      <c r="O81" s="925">
        <f>ejercicio</f>
        <v>2020</v>
      </c>
      <c r="P81" s="925">
        <f>ejercicio</f>
        <v>2020</v>
      </c>
      <c r="Q81" s="925">
        <f>ejercicio</f>
        <v>2020</v>
      </c>
      <c r="R81" s="927" t="s">
        <v>897</v>
      </c>
      <c r="S81" s="928" t="s">
        <v>898</v>
      </c>
      <c r="T81" s="568"/>
      <c r="V81" s="915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8"/>
    </row>
    <row r="82" spans="2:35" ht="22.5" customHeight="1">
      <c r="B82" s="580"/>
      <c r="C82" s="464">
        <v>1</v>
      </c>
      <c r="D82" s="461" t="s">
        <v>1077</v>
      </c>
      <c r="E82" s="520"/>
      <c r="F82" s="520"/>
      <c r="G82" s="464" t="s">
        <v>1078</v>
      </c>
      <c r="H82" s="520" t="s">
        <v>1079</v>
      </c>
      <c r="I82" s="520" t="s">
        <v>1071</v>
      </c>
      <c r="J82" s="725" t="s">
        <v>1071</v>
      </c>
      <c r="K82" s="528">
        <v>217773.46</v>
      </c>
      <c r="L82" s="528">
        <v>217773.46</v>
      </c>
      <c r="M82" s="726">
        <v>200000</v>
      </c>
      <c r="N82" s="726"/>
      <c r="O82" s="726"/>
      <c r="P82" s="655"/>
      <c r="Q82" s="938">
        <f>L82+M82-N82</f>
        <v>417773.45999999996</v>
      </c>
      <c r="R82" s="783">
        <v>417773.46</v>
      </c>
      <c r="S82" s="784"/>
      <c r="T82" s="568"/>
      <c r="V82" s="915"/>
      <c r="W82" s="917"/>
      <c r="X82" s="917"/>
      <c r="Y82" s="917"/>
      <c r="Z82" s="917"/>
      <c r="AA82" s="917"/>
      <c r="AB82" s="917"/>
      <c r="AC82" s="917"/>
      <c r="AD82" s="917"/>
      <c r="AE82" s="917"/>
      <c r="AF82" s="917"/>
      <c r="AG82" s="917"/>
      <c r="AH82" s="917"/>
      <c r="AI82" s="918"/>
    </row>
    <row r="83" spans="2:35" ht="22.5" customHeight="1">
      <c r="B83" s="580"/>
      <c r="C83" s="464"/>
      <c r="D83" s="461"/>
      <c r="E83" s="520"/>
      <c r="F83" s="520"/>
      <c r="G83" s="464"/>
      <c r="H83" s="520"/>
      <c r="I83" s="520"/>
      <c r="J83" s="520"/>
      <c r="K83" s="528"/>
      <c r="L83" s="528"/>
      <c r="M83" s="528"/>
      <c r="N83" s="528"/>
      <c r="O83" s="528"/>
      <c r="P83" s="655"/>
      <c r="Q83" s="929">
        <f aca="true" t="shared" si="4" ref="Q83:Q106">L83+M83-N83</f>
        <v>0</v>
      </c>
      <c r="R83" s="785"/>
      <c r="S83" s="786"/>
      <c r="T83" s="568"/>
      <c r="V83" s="915"/>
      <c r="W83" s="917"/>
      <c r="X83" s="917"/>
      <c r="Y83" s="917"/>
      <c r="Z83" s="917"/>
      <c r="AA83" s="917"/>
      <c r="AB83" s="917"/>
      <c r="AC83" s="917"/>
      <c r="AD83" s="917"/>
      <c r="AE83" s="917"/>
      <c r="AF83" s="917"/>
      <c r="AG83" s="917"/>
      <c r="AH83" s="917"/>
      <c r="AI83" s="918"/>
    </row>
    <row r="84" spans="2:35" ht="22.5" customHeight="1">
      <c r="B84" s="580"/>
      <c r="C84" s="464"/>
      <c r="D84" s="461"/>
      <c r="E84" s="520" t="s">
        <v>883</v>
      </c>
      <c r="F84" s="520"/>
      <c r="G84" s="464"/>
      <c r="H84" s="520"/>
      <c r="I84" s="520"/>
      <c r="J84" s="520"/>
      <c r="K84" s="528"/>
      <c r="L84" s="528"/>
      <c r="M84" s="528"/>
      <c r="N84" s="528"/>
      <c r="O84" s="528"/>
      <c r="P84" s="655"/>
      <c r="Q84" s="929">
        <f t="shared" si="4"/>
        <v>0</v>
      </c>
      <c r="R84" s="785"/>
      <c r="S84" s="786"/>
      <c r="T84" s="568"/>
      <c r="V84" s="915"/>
      <c r="W84" s="917"/>
      <c r="X84" s="917"/>
      <c r="Y84" s="917"/>
      <c r="Z84" s="917"/>
      <c r="AA84" s="917"/>
      <c r="AB84" s="917"/>
      <c r="AC84" s="917"/>
      <c r="AD84" s="917"/>
      <c r="AE84" s="917"/>
      <c r="AF84" s="917"/>
      <c r="AG84" s="917"/>
      <c r="AH84" s="917"/>
      <c r="AI84" s="918"/>
    </row>
    <row r="85" spans="2:35" ht="22.5" customHeight="1">
      <c r="B85" s="580"/>
      <c r="C85" s="464"/>
      <c r="D85" s="461"/>
      <c r="E85" s="520"/>
      <c r="F85" s="520"/>
      <c r="G85" s="464"/>
      <c r="H85" s="520"/>
      <c r="I85" s="520"/>
      <c r="J85" s="520"/>
      <c r="K85" s="528"/>
      <c r="L85" s="528"/>
      <c r="M85" s="528"/>
      <c r="N85" s="528"/>
      <c r="O85" s="528"/>
      <c r="P85" s="655"/>
      <c r="Q85" s="929">
        <f t="shared" si="4"/>
        <v>0</v>
      </c>
      <c r="R85" s="785"/>
      <c r="S85" s="786"/>
      <c r="T85" s="568"/>
      <c r="V85" s="915"/>
      <c r="W85" s="917"/>
      <c r="X85" s="917"/>
      <c r="Y85" s="917"/>
      <c r="Z85" s="917"/>
      <c r="AA85" s="917"/>
      <c r="AB85" s="917"/>
      <c r="AC85" s="917"/>
      <c r="AD85" s="917"/>
      <c r="AE85" s="917"/>
      <c r="AF85" s="917"/>
      <c r="AG85" s="917"/>
      <c r="AH85" s="917"/>
      <c r="AI85" s="918"/>
    </row>
    <row r="86" spans="2:35" ht="22.5" customHeight="1">
      <c r="B86" s="580"/>
      <c r="C86" s="464"/>
      <c r="D86" s="461"/>
      <c r="E86" s="520"/>
      <c r="F86" s="520"/>
      <c r="G86" s="464"/>
      <c r="H86" s="520"/>
      <c r="I86" s="520"/>
      <c r="J86" s="520"/>
      <c r="K86" s="528"/>
      <c r="L86" s="528"/>
      <c r="M86" s="528"/>
      <c r="N86" s="528"/>
      <c r="O86" s="528"/>
      <c r="P86" s="655"/>
      <c r="Q86" s="929">
        <f t="shared" si="4"/>
        <v>0</v>
      </c>
      <c r="R86" s="785"/>
      <c r="S86" s="786"/>
      <c r="T86" s="568"/>
      <c r="V86" s="915"/>
      <c r="W86" s="917"/>
      <c r="X86" s="917"/>
      <c r="Y86" s="917"/>
      <c r="Z86" s="917"/>
      <c r="AA86" s="917"/>
      <c r="AB86" s="917"/>
      <c r="AC86" s="917"/>
      <c r="AD86" s="917"/>
      <c r="AE86" s="917"/>
      <c r="AF86" s="917"/>
      <c r="AG86" s="917"/>
      <c r="AH86" s="917"/>
      <c r="AI86" s="918"/>
    </row>
    <row r="87" spans="2:35" ht="22.5" customHeight="1">
      <c r="B87" s="580"/>
      <c r="C87" s="464"/>
      <c r="D87" s="461"/>
      <c r="E87" s="520"/>
      <c r="F87" s="520"/>
      <c r="G87" s="464"/>
      <c r="H87" s="520"/>
      <c r="I87" s="520"/>
      <c r="J87" s="520"/>
      <c r="K87" s="528"/>
      <c r="L87" s="528"/>
      <c r="M87" s="528"/>
      <c r="N87" s="528"/>
      <c r="O87" s="528"/>
      <c r="P87" s="655"/>
      <c r="Q87" s="929">
        <f t="shared" si="4"/>
        <v>0</v>
      </c>
      <c r="R87" s="785"/>
      <c r="S87" s="786"/>
      <c r="T87" s="568"/>
      <c r="V87" s="915"/>
      <c r="W87" s="917"/>
      <c r="X87" s="917"/>
      <c r="Y87" s="917"/>
      <c r="Z87" s="917"/>
      <c r="AA87" s="917"/>
      <c r="AB87" s="917"/>
      <c r="AC87" s="917"/>
      <c r="AD87" s="917"/>
      <c r="AE87" s="917"/>
      <c r="AF87" s="917"/>
      <c r="AG87" s="917"/>
      <c r="AH87" s="917"/>
      <c r="AI87" s="918"/>
    </row>
    <row r="88" spans="2:35" ht="22.5" customHeight="1">
      <c r="B88" s="580"/>
      <c r="C88" s="464"/>
      <c r="D88" s="461"/>
      <c r="E88" s="520"/>
      <c r="F88" s="520"/>
      <c r="G88" s="464"/>
      <c r="H88" s="520"/>
      <c r="I88" s="520"/>
      <c r="J88" s="520"/>
      <c r="K88" s="528"/>
      <c r="L88" s="528"/>
      <c r="M88" s="528"/>
      <c r="N88" s="528"/>
      <c r="O88" s="528"/>
      <c r="P88" s="655"/>
      <c r="Q88" s="929">
        <f t="shared" si="4"/>
        <v>0</v>
      </c>
      <c r="R88" s="785"/>
      <c r="S88" s="786"/>
      <c r="T88" s="568"/>
      <c r="V88" s="915"/>
      <c r="W88" s="917"/>
      <c r="X88" s="917"/>
      <c r="Y88" s="917"/>
      <c r="Z88" s="917"/>
      <c r="AA88" s="917"/>
      <c r="AB88" s="917"/>
      <c r="AC88" s="917"/>
      <c r="AD88" s="917"/>
      <c r="AE88" s="917"/>
      <c r="AF88" s="917"/>
      <c r="AG88" s="917"/>
      <c r="AH88" s="917"/>
      <c r="AI88" s="918"/>
    </row>
    <row r="89" spans="2:35" ht="22.5" customHeight="1">
      <c r="B89" s="580"/>
      <c r="C89" s="464"/>
      <c r="D89" s="461"/>
      <c r="E89" s="520"/>
      <c r="F89" s="520"/>
      <c r="G89" s="464"/>
      <c r="H89" s="520"/>
      <c r="I89" s="520"/>
      <c r="J89" s="520"/>
      <c r="K89" s="528"/>
      <c r="L89" s="528"/>
      <c r="M89" s="528"/>
      <c r="N89" s="528"/>
      <c r="O89" s="528"/>
      <c r="P89" s="655"/>
      <c r="Q89" s="929">
        <f t="shared" si="4"/>
        <v>0</v>
      </c>
      <c r="R89" s="785"/>
      <c r="S89" s="786"/>
      <c r="T89" s="568"/>
      <c r="V89" s="915"/>
      <c r="W89" s="917"/>
      <c r="X89" s="917"/>
      <c r="Y89" s="917"/>
      <c r="Z89" s="917"/>
      <c r="AA89" s="917"/>
      <c r="AB89" s="917"/>
      <c r="AC89" s="917"/>
      <c r="AD89" s="917"/>
      <c r="AE89" s="917"/>
      <c r="AF89" s="917"/>
      <c r="AG89" s="917"/>
      <c r="AH89" s="917"/>
      <c r="AI89" s="918"/>
    </row>
    <row r="90" spans="2:35" ht="22.5" customHeight="1">
      <c r="B90" s="580"/>
      <c r="C90" s="464"/>
      <c r="D90" s="461"/>
      <c r="E90" s="520"/>
      <c r="F90" s="520"/>
      <c r="G90" s="464"/>
      <c r="H90" s="520"/>
      <c r="I90" s="520"/>
      <c r="J90" s="520"/>
      <c r="K90" s="528"/>
      <c r="L90" s="528"/>
      <c r="M90" s="528"/>
      <c r="N90" s="528"/>
      <c r="O90" s="528"/>
      <c r="P90" s="655"/>
      <c r="Q90" s="929">
        <f t="shared" si="4"/>
        <v>0</v>
      </c>
      <c r="R90" s="785"/>
      <c r="S90" s="786"/>
      <c r="T90" s="568"/>
      <c r="V90" s="915"/>
      <c r="W90" s="917"/>
      <c r="X90" s="917"/>
      <c r="Y90" s="917"/>
      <c r="Z90" s="917"/>
      <c r="AA90" s="917"/>
      <c r="AB90" s="917"/>
      <c r="AC90" s="917"/>
      <c r="AD90" s="917"/>
      <c r="AE90" s="917"/>
      <c r="AF90" s="917"/>
      <c r="AG90" s="917"/>
      <c r="AH90" s="917"/>
      <c r="AI90" s="918"/>
    </row>
    <row r="91" spans="2:35" ht="22.5" customHeight="1">
      <c r="B91" s="580"/>
      <c r="C91" s="464"/>
      <c r="D91" s="461"/>
      <c r="E91" s="520"/>
      <c r="F91" s="520"/>
      <c r="G91" s="464"/>
      <c r="H91" s="520"/>
      <c r="I91" s="520"/>
      <c r="J91" s="520"/>
      <c r="K91" s="528"/>
      <c r="L91" s="528"/>
      <c r="M91" s="528"/>
      <c r="N91" s="528"/>
      <c r="O91" s="528"/>
      <c r="P91" s="655"/>
      <c r="Q91" s="929">
        <f t="shared" si="4"/>
        <v>0</v>
      </c>
      <c r="R91" s="785"/>
      <c r="S91" s="786"/>
      <c r="T91" s="568"/>
      <c r="V91" s="915"/>
      <c r="W91" s="917"/>
      <c r="X91" s="917"/>
      <c r="Y91" s="917"/>
      <c r="Z91" s="917"/>
      <c r="AA91" s="917"/>
      <c r="AB91" s="917"/>
      <c r="AC91" s="917"/>
      <c r="AD91" s="917"/>
      <c r="AE91" s="917"/>
      <c r="AF91" s="917"/>
      <c r="AG91" s="917"/>
      <c r="AH91" s="917"/>
      <c r="AI91" s="918"/>
    </row>
    <row r="92" spans="2:35" ht="22.5" customHeight="1">
      <c r="B92" s="580"/>
      <c r="C92" s="464"/>
      <c r="D92" s="461"/>
      <c r="E92" s="520"/>
      <c r="F92" s="520"/>
      <c r="G92" s="464"/>
      <c r="H92" s="520"/>
      <c r="I92" s="520"/>
      <c r="J92" s="520"/>
      <c r="K92" s="528"/>
      <c r="L92" s="528"/>
      <c r="M92" s="528"/>
      <c r="N92" s="528"/>
      <c r="O92" s="528"/>
      <c r="P92" s="655"/>
      <c r="Q92" s="929">
        <f t="shared" si="4"/>
        <v>0</v>
      </c>
      <c r="R92" s="785"/>
      <c r="S92" s="786"/>
      <c r="T92" s="568"/>
      <c r="V92" s="915"/>
      <c r="W92" s="917"/>
      <c r="X92" s="917"/>
      <c r="Y92" s="917"/>
      <c r="Z92" s="917"/>
      <c r="AA92" s="917"/>
      <c r="AB92" s="917"/>
      <c r="AC92" s="917"/>
      <c r="AD92" s="917"/>
      <c r="AE92" s="917"/>
      <c r="AF92" s="917"/>
      <c r="AG92" s="917"/>
      <c r="AH92" s="917"/>
      <c r="AI92" s="918"/>
    </row>
    <row r="93" spans="2:35" ht="22.5" customHeight="1">
      <c r="B93" s="580"/>
      <c r="C93" s="464"/>
      <c r="D93" s="461"/>
      <c r="E93" s="520"/>
      <c r="F93" s="520"/>
      <c r="G93" s="464"/>
      <c r="H93" s="520"/>
      <c r="I93" s="520"/>
      <c r="J93" s="520"/>
      <c r="K93" s="528"/>
      <c r="L93" s="528"/>
      <c r="M93" s="528"/>
      <c r="N93" s="528"/>
      <c r="O93" s="528"/>
      <c r="P93" s="655"/>
      <c r="Q93" s="929">
        <f t="shared" si="4"/>
        <v>0</v>
      </c>
      <c r="R93" s="785"/>
      <c r="S93" s="786"/>
      <c r="T93" s="568"/>
      <c r="V93" s="915"/>
      <c r="W93" s="917"/>
      <c r="X93" s="917"/>
      <c r="Y93" s="917"/>
      <c r="Z93" s="917"/>
      <c r="AA93" s="917"/>
      <c r="AB93" s="917"/>
      <c r="AC93" s="917"/>
      <c r="AD93" s="917"/>
      <c r="AE93" s="917"/>
      <c r="AF93" s="917"/>
      <c r="AG93" s="917"/>
      <c r="AH93" s="917"/>
      <c r="AI93" s="918"/>
    </row>
    <row r="94" spans="2:35" ht="22.5" customHeight="1">
      <c r="B94" s="580"/>
      <c r="C94" s="464"/>
      <c r="D94" s="461"/>
      <c r="E94" s="520"/>
      <c r="F94" s="520"/>
      <c r="G94" s="464"/>
      <c r="H94" s="520"/>
      <c r="I94" s="520"/>
      <c r="J94" s="520"/>
      <c r="K94" s="528"/>
      <c r="L94" s="528"/>
      <c r="M94" s="528"/>
      <c r="N94" s="528"/>
      <c r="O94" s="528"/>
      <c r="P94" s="655"/>
      <c r="Q94" s="929">
        <f t="shared" si="4"/>
        <v>0</v>
      </c>
      <c r="R94" s="785"/>
      <c r="S94" s="786"/>
      <c r="T94" s="568"/>
      <c r="V94" s="915"/>
      <c r="W94" s="917"/>
      <c r="X94" s="917"/>
      <c r="Y94" s="917"/>
      <c r="Z94" s="917"/>
      <c r="AA94" s="917"/>
      <c r="AB94" s="917"/>
      <c r="AC94" s="917"/>
      <c r="AD94" s="917"/>
      <c r="AE94" s="917"/>
      <c r="AF94" s="917"/>
      <c r="AG94" s="917"/>
      <c r="AH94" s="917"/>
      <c r="AI94" s="918"/>
    </row>
    <row r="95" spans="2:35" ht="22.5" customHeight="1">
      <c r="B95" s="580"/>
      <c r="C95" s="464"/>
      <c r="D95" s="461"/>
      <c r="E95" s="520"/>
      <c r="F95" s="520"/>
      <c r="G95" s="464"/>
      <c r="H95" s="520"/>
      <c r="I95" s="520"/>
      <c r="J95" s="520"/>
      <c r="K95" s="528"/>
      <c r="L95" s="528"/>
      <c r="M95" s="528"/>
      <c r="N95" s="528"/>
      <c r="O95" s="528"/>
      <c r="P95" s="655"/>
      <c r="Q95" s="929">
        <f t="shared" si="4"/>
        <v>0</v>
      </c>
      <c r="R95" s="785"/>
      <c r="S95" s="786"/>
      <c r="T95" s="568"/>
      <c r="V95" s="915"/>
      <c r="W95" s="917"/>
      <c r="X95" s="917"/>
      <c r="Y95" s="917"/>
      <c r="Z95" s="917"/>
      <c r="AA95" s="917"/>
      <c r="AB95" s="917"/>
      <c r="AC95" s="917"/>
      <c r="AD95" s="917"/>
      <c r="AE95" s="917"/>
      <c r="AF95" s="917"/>
      <c r="AG95" s="917"/>
      <c r="AH95" s="917"/>
      <c r="AI95" s="918"/>
    </row>
    <row r="96" spans="2:35" ht="22.5" customHeight="1">
      <c r="B96" s="580"/>
      <c r="C96" s="464"/>
      <c r="D96" s="461"/>
      <c r="E96" s="520"/>
      <c r="F96" s="520"/>
      <c r="G96" s="464"/>
      <c r="H96" s="520"/>
      <c r="I96" s="520"/>
      <c r="J96" s="520"/>
      <c r="K96" s="528"/>
      <c r="L96" s="528"/>
      <c r="M96" s="528"/>
      <c r="N96" s="528"/>
      <c r="O96" s="528"/>
      <c r="P96" s="655"/>
      <c r="Q96" s="929">
        <f t="shared" si="4"/>
        <v>0</v>
      </c>
      <c r="R96" s="785"/>
      <c r="S96" s="786"/>
      <c r="T96" s="568"/>
      <c r="V96" s="915"/>
      <c r="W96" s="917"/>
      <c r="X96" s="917"/>
      <c r="Y96" s="917"/>
      <c r="Z96" s="917"/>
      <c r="AA96" s="917"/>
      <c r="AB96" s="917"/>
      <c r="AC96" s="917"/>
      <c r="AD96" s="917"/>
      <c r="AE96" s="917"/>
      <c r="AF96" s="917"/>
      <c r="AG96" s="917"/>
      <c r="AH96" s="917"/>
      <c r="AI96" s="918"/>
    </row>
    <row r="97" spans="2:35" ht="22.5" customHeight="1">
      <c r="B97" s="580"/>
      <c r="C97" s="464"/>
      <c r="D97" s="461"/>
      <c r="E97" s="520"/>
      <c r="F97" s="520"/>
      <c r="G97" s="464"/>
      <c r="H97" s="520"/>
      <c r="I97" s="520"/>
      <c r="J97" s="520"/>
      <c r="K97" s="528"/>
      <c r="L97" s="528"/>
      <c r="M97" s="528"/>
      <c r="N97" s="528"/>
      <c r="O97" s="528"/>
      <c r="P97" s="655"/>
      <c r="Q97" s="929">
        <f t="shared" si="4"/>
        <v>0</v>
      </c>
      <c r="R97" s="785"/>
      <c r="S97" s="786"/>
      <c r="T97" s="568"/>
      <c r="V97" s="915"/>
      <c r="W97" s="917"/>
      <c r="X97" s="917"/>
      <c r="Y97" s="917"/>
      <c r="Z97" s="917"/>
      <c r="AA97" s="917"/>
      <c r="AB97" s="917"/>
      <c r="AC97" s="917"/>
      <c r="AD97" s="917"/>
      <c r="AE97" s="917"/>
      <c r="AF97" s="917"/>
      <c r="AG97" s="917"/>
      <c r="AH97" s="917"/>
      <c r="AI97" s="918"/>
    </row>
    <row r="98" spans="2:35" ht="22.5" customHeight="1">
      <c r="B98" s="580"/>
      <c r="C98" s="464"/>
      <c r="D98" s="461"/>
      <c r="E98" s="520"/>
      <c r="F98" s="520"/>
      <c r="G98" s="464"/>
      <c r="H98" s="520"/>
      <c r="I98" s="520"/>
      <c r="J98" s="520"/>
      <c r="K98" s="528"/>
      <c r="L98" s="528"/>
      <c r="M98" s="528"/>
      <c r="N98" s="528"/>
      <c r="O98" s="528"/>
      <c r="P98" s="655"/>
      <c r="Q98" s="929">
        <f t="shared" si="4"/>
        <v>0</v>
      </c>
      <c r="R98" s="785"/>
      <c r="S98" s="786"/>
      <c r="T98" s="568"/>
      <c r="V98" s="915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8"/>
    </row>
    <row r="99" spans="2:35" ht="22.5" customHeight="1">
      <c r="B99" s="580"/>
      <c r="C99" s="464"/>
      <c r="D99" s="461"/>
      <c r="E99" s="520"/>
      <c r="F99" s="520"/>
      <c r="G99" s="464"/>
      <c r="H99" s="520"/>
      <c r="I99" s="520"/>
      <c r="J99" s="520"/>
      <c r="K99" s="528"/>
      <c r="L99" s="528"/>
      <c r="M99" s="528"/>
      <c r="N99" s="528"/>
      <c r="O99" s="528"/>
      <c r="P99" s="655"/>
      <c r="Q99" s="929">
        <f t="shared" si="4"/>
        <v>0</v>
      </c>
      <c r="R99" s="785"/>
      <c r="S99" s="786"/>
      <c r="T99" s="568"/>
      <c r="V99" s="915"/>
      <c r="W99" s="917"/>
      <c r="X99" s="917"/>
      <c r="Y99" s="917"/>
      <c r="Z99" s="917"/>
      <c r="AA99" s="917"/>
      <c r="AB99" s="917"/>
      <c r="AC99" s="917"/>
      <c r="AD99" s="917"/>
      <c r="AE99" s="917"/>
      <c r="AF99" s="917"/>
      <c r="AG99" s="917"/>
      <c r="AH99" s="917"/>
      <c r="AI99" s="918"/>
    </row>
    <row r="100" spans="2:35" ht="22.5" customHeight="1">
      <c r="B100" s="580"/>
      <c r="C100" s="464"/>
      <c r="D100" s="461"/>
      <c r="E100" s="520"/>
      <c r="F100" s="520"/>
      <c r="G100" s="464"/>
      <c r="H100" s="520"/>
      <c r="I100" s="520"/>
      <c r="J100" s="520"/>
      <c r="K100" s="528"/>
      <c r="L100" s="528"/>
      <c r="M100" s="528"/>
      <c r="N100" s="528"/>
      <c r="O100" s="528"/>
      <c r="P100" s="655"/>
      <c r="Q100" s="929">
        <f t="shared" si="4"/>
        <v>0</v>
      </c>
      <c r="R100" s="785"/>
      <c r="S100" s="786"/>
      <c r="T100" s="568"/>
      <c r="V100" s="915"/>
      <c r="W100" s="917"/>
      <c r="X100" s="917"/>
      <c r="Y100" s="917"/>
      <c r="Z100" s="917"/>
      <c r="AA100" s="917"/>
      <c r="AB100" s="917"/>
      <c r="AC100" s="917"/>
      <c r="AD100" s="917"/>
      <c r="AE100" s="917"/>
      <c r="AF100" s="917"/>
      <c r="AG100" s="917"/>
      <c r="AH100" s="917"/>
      <c r="AI100" s="918"/>
    </row>
    <row r="101" spans="2:35" ht="22.5" customHeight="1">
      <c r="B101" s="580"/>
      <c r="C101" s="464"/>
      <c r="D101" s="461"/>
      <c r="E101" s="520"/>
      <c r="F101" s="520"/>
      <c r="G101" s="464"/>
      <c r="H101" s="520"/>
      <c r="I101" s="520"/>
      <c r="J101" s="520"/>
      <c r="K101" s="528"/>
      <c r="L101" s="528"/>
      <c r="M101" s="528"/>
      <c r="N101" s="528"/>
      <c r="O101" s="528"/>
      <c r="P101" s="655"/>
      <c r="Q101" s="929">
        <f t="shared" si="4"/>
        <v>0</v>
      </c>
      <c r="R101" s="785"/>
      <c r="S101" s="786"/>
      <c r="T101" s="568"/>
      <c r="V101" s="915"/>
      <c r="W101" s="917"/>
      <c r="X101" s="917"/>
      <c r="Y101" s="917"/>
      <c r="Z101" s="917"/>
      <c r="AA101" s="917"/>
      <c r="AB101" s="917"/>
      <c r="AC101" s="917"/>
      <c r="AD101" s="917"/>
      <c r="AE101" s="917"/>
      <c r="AF101" s="917"/>
      <c r="AG101" s="917"/>
      <c r="AH101" s="917"/>
      <c r="AI101" s="918"/>
    </row>
    <row r="102" spans="2:35" ht="22.5" customHeight="1">
      <c r="B102" s="580"/>
      <c r="C102" s="464"/>
      <c r="D102" s="461"/>
      <c r="E102" s="520"/>
      <c r="F102" s="520"/>
      <c r="G102" s="464"/>
      <c r="H102" s="520"/>
      <c r="I102" s="520"/>
      <c r="J102" s="520"/>
      <c r="K102" s="528"/>
      <c r="L102" s="528"/>
      <c r="M102" s="528"/>
      <c r="N102" s="528"/>
      <c r="O102" s="528"/>
      <c r="P102" s="655"/>
      <c r="Q102" s="929">
        <f t="shared" si="4"/>
        <v>0</v>
      </c>
      <c r="R102" s="785"/>
      <c r="S102" s="786"/>
      <c r="T102" s="568"/>
      <c r="V102" s="915"/>
      <c r="W102" s="917"/>
      <c r="X102" s="917"/>
      <c r="Y102" s="917"/>
      <c r="Z102" s="917"/>
      <c r="AA102" s="917"/>
      <c r="AB102" s="917"/>
      <c r="AC102" s="917"/>
      <c r="AD102" s="917"/>
      <c r="AE102" s="917"/>
      <c r="AF102" s="917"/>
      <c r="AG102" s="917"/>
      <c r="AH102" s="917"/>
      <c r="AI102" s="918"/>
    </row>
    <row r="103" spans="2:35" ht="22.5" customHeight="1">
      <c r="B103" s="580"/>
      <c r="C103" s="464"/>
      <c r="D103" s="461"/>
      <c r="E103" s="520"/>
      <c r="F103" s="520"/>
      <c r="G103" s="464"/>
      <c r="H103" s="520"/>
      <c r="I103" s="520"/>
      <c r="J103" s="520"/>
      <c r="K103" s="528"/>
      <c r="L103" s="528"/>
      <c r="M103" s="528"/>
      <c r="N103" s="528"/>
      <c r="O103" s="528"/>
      <c r="P103" s="655"/>
      <c r="Q103" s="929">
        <f t="shared" si="4"/>
        <v>0</v>
      </c>
      <c r="R103" s="785"/>
      <c r="S103" s="786"/>
      <c r="T103" s="568"/>
      <c r="V103" s="915"/>
      <c r="W103" s="917"/>
      <c r="X103" s="917"/>
      <c r="Y103" s="917"/>
      <c r="Z103" s="917"/>
      <c r="AA103" s="917"/>
      <c r="AB103" s="917"/>
      <c r="AC103" s="917"/>
      <c r="AD103" s="917"/>
      <c r="AE103" s="917"/>
      <c r="AF103" s="917"/>
      <c r="AG103" s="917"/>
      <c r="AH103" s="917"/>
      <c r="AI103" s="918"/>
    </row>
    <row r="104" spans="2:35" ht="22.5" customHeight="1">
      <c r="B104" s="580"/>
      <c r="C104" s="464"/>
      <c r="D104" s="461"/>
      <c r="E104" s="520"/>
      <c r="F104" s="520"/>
      <c r="G104" s="464"/>
      <c r="H104" s="520"/>
      <c r="I104" s="520"/>
      <c r="J104" s="520"/>
      <c r="K104" s="528"/>
      <c r="L104" s="528"/>
      <c r="M104" s="528"/>
      <c r="N104" s="528"/>
      <c r="O104" s="528"/>
      <c r="P104" s="655"/>
      <c r="Q104" s="929">
        <f t="shared" si="4"/>
        <v>0</v>
      </c>
      <c r="R104" s="785"/>
      <c r="S104" s="786"/>
      <c r="T104" s="568"/>
      <c r="V104" s="915"/>
      <c r="W104" s="917"/>
      <c r="X104" s="917"/>
      <c r="Y104" s="917"/>
      <c r="Z104" s="917"/>
      <c r="AA104" s="917"/>
      <c r="AB104" s="917"/>
      <c r="AC104" s="917"/>
      <c r="AD104" s="917"/>
      <c r="AE104" s="917"/>
      <c r="AF104" s="917"/>
      <c r="AG104" s="917"/>
      <c r="AH104" s="917"/>
      <c r="AI104" s="918"/>
    </row>
    <row r="105" spans="2:35" ht="22.5" customHeight="1">
      <c r="B105" s="580"/>
      <c r="C105" s="464"/>
      <c r="D105" s="462"/>
      <c r="E105" s="521"/>
      <c r="F105" s="521"/>
      <c r="G105" s="465"/>
      <c r="H105" s="521"/>
      <c r="I105" s="521"/>
      <c r="J105" s="521"/>
      <c r="K105" s="529"/>
      <c r="L105" s="529"/>
      <c r="M105" s="529"/>
      <c r="N105" s="529"/>
      <c r="O105" s="529"/>
      <c r="P105" s="656"/>
      <c r="Q105" s="930">
        <f t="shared" si="4"/>
        <v>0</v>
      </c>
      <c r="R105" s="785"/>
      <c r="S105" s="786"/>
      <c r="T105" s="568"/>
      <c r="V105" s="915"/>
      <c r="W105" s="917"/>
      <c r="X105" s="917"/>
      <c r="Y105" s="917"/>
      <c r="Z105" s="917"/>
      <c r="AA105" s="917"/>
      <c r="AB105" s="917"/>
      <c r="AC105" s="917"/>
      <c r="AD105" s="917"/>
      <c r="AE105" s="917"/>
      <c r="AF105" s="917"/>
      <c r="AG105" s="917"/>
      <c r="AH105" s="917"/>
      <c r="AI105" s="918"/>
    </row>
    <row r="106" spans="2:35" ht="22.5" customHeight="1">
      <c r="B106" s="580"/>
      <c r="C106" s="466"/>
      <c r="D106" s="463"/>
      <c r="E106" s="522"/>
      <c r="F106" s="522"/>
      <c r="G106" s="466"/>
      <c r="H106" s="522"/>
      <c r="I106" s="522"/>
      <c r="J106" s="522"/>
      <c r="K106" s="530"/>
      <c r="L106" s="530"/>
      <c r="M106" s="530"/>
      <c r="N106" s="530"/>
      <c r="O106" s="530"/>
      <c r="P106" s="657"/>
      <c r="Q106" s="931">
        <f t="shared" si="4"/>
        <v>0</v>
      </c>
      <c r="R106" s="787"/>
      <c r="S106" s="788"/>
      <c r="T106" s="568"/>
      <c r="V106" s="915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7"/>
      <c r="AG106" s="917"/>
      <c r="AH106" s="917"/>
      <c r="AI106" s="918"/>
    </row>
    <row r="107" spans="2:35" ht="22.5" customHeight="1" thickBot="1">
      <c r="B107" s="580"/>
      <c r="C107" s="558"/>
      <c r="D107" s="558"/>
      <c r="E107" s="909"/>
      <c r="F107" s="909"/>
      <c r="G107" s="909"/>
      <c r="H107" s="1412" t="s">
        <v>700</v>
      </c>
      <c r="I107" s="1413"/>
      <c r="J107" s="1414"/>
      <c r="K107" s="932">
        <f aca="true" t="shared" si="5" ref="K107:S107">SUM(K82:K106)</f>
        <v>217773.46</v>
      </c>
      <c r="L107" s="933">
        <f t="shared" si="5"/>
        <v>217773.46</v>
      </c>
      <c r="M107" s="934">
        <f t="shared" si="5"/>
        <v>200000</v>
      </c>
      <c r="N107" s="934">
        <f t="shared" si="5"/>
        <v>0</v>
      </c>
      <c r="O107" s="932">
        <f t="shared" si="5"/>
        <v>0</v>
      </c>
      <c r="P107" s="932">
        <f t="shared" si="5"/>
        <v>0</v>
      </c>
      <c r="Q107" s="935">
        <f t="shared" si="5"/>
        <v>417773.45999999996</v>
      </c>
      <c r="R107" s="934">
        <f t="shared" si="5"/>
        <v>417773.46</v>
      </c>
      <c r="S107" s="616">
        <f t="shared" si="5"/>
        <v>0</v>
      </c>
      <c r="T107" s="568"/>
      <c r="V107" s="915"/>
      <c r="W107" s="917"/>
      <c r="X107" s="917"/>
      <c r="Y107" s="917"/>
      <c r="Z107" s="917"/>
      <c r="AA107" s="917"/>
      <c r="AB107" s="917"/>
      <c r="AC107" s="917"/>
      <c r="AD107" s="917"/>
      <c r="AE107" s="917"/>
      <c r="AF107" s="917"/>
      <c r="AG107" s="917"/>
      <c r="AH107" s="917"/>
      <c r="AI107" s="918"/>
    </row>
    <row r="108" spans="2:35" ht="22.5" customHeight="1">
      <c r="B108" s="580"/>
      <c r="C108" s="558"/>
      <c r="D108" s="558"/>
      <c r="E108" s="909"/>
      <c r="F108" s="909"/>
      <c r="G108" s="909"/>
      <c r="H108" s="937"/>
      <c r="I108" s="937"/>
      <c r="J108" s="937"/>
      <c r="K108" s="909"/>
      <c r="L108" s="909"/>
      <c r="M108" s="909"/>
      <c r="N108" s="909"/>
      <c r="O108" s="909"/>
      <c r="P108" s="909"/>
      <c r="Q108" s="909"/>
      <c r="R108" s="909"/>
      <c r="S108" s="909"/>
      <c r="T108" s="568"/>
      <c r="V108" s="915"/>
      <c r="W108" s="917"/>
      <c r="X108" s="917"/>
      <c r="Y108" s="917"/>
      <c r="Z108" s="917"/>
      <c r="AA108" s="917"/>
      <c r="AB108" s="917"/>
      <c r="AC108" s="917"/>
      <c r="AD108" s="917"/>
      <c r="AE108" s="917"/>
      <c r="AF108" s="917"/>
      <c r="AG108" s="917"/>
      <c r="AH108" s="917"/>
      <c r="AI108" s="918"/>
    </row>
    <row r="109" spans="2:35" ht="22.5" customHeight="1">
      <c r="B109" s="580"/>
      <c r="C109" s="558"/>
      <c r="D109" s="558"/>
      <c r="E109" s="909"/>
      <c r="F109" s="909"/>
      <c r="G109" s="909"/>
      <c r="H109" s="937"/>
      <c r="I109" s="937"/>
      <c r="J109" s="937"/>
      <c r="K109" s="909"/>
      <c r="L109" s="909"/>
      <c r="M109" s="909"/>
      <c r="N109" s="909"/>
      <c r="O109" s="909"/>
      <c r="P109" s="909"/>
      <c r="Q109" s="909"/>
      <c r="R109" s="909"/>
      <c r="S109" s="909"/>
      <c r="T109" s="568"/>
      <c r="V109" s="915"/>
      <c r="W109" s="917"/>
      <c r="X109" s="917"/>
      <c r="Y109" s="917"/>
      <c r="Z109" s="917"/>
      <c r="AA109" s="917"/>
      <c r="AB109" s="917"/>
      <c r="AC109" s="917"/>
      <c r="AD109" s="917"/>
      <c r="AE109" s="917"/>
      <c r="AF109" s="917"/>
      <c r="AG109" s="917"/>
      <c r="AH109" s="917"/>
      <c r="AI109" s="918"/>
    </row>
    <row r="110" spans="2:35" s="944" customFormat="1" ht="18" customHeight="1">
      <c r="B110" s="939"/>
      <c r="C110" s="705" t="s">
        <v>621</v>
      </c>
      <c r="D110" s="940"/>
      <c r="E110" s="941"/>
      <c r="F110" s="941"/>
      <c r="G110" s="941"/>
      <c r="H110" s="941"/>
      <c r="I110" s="941"/>
      <c r="J110" s="941"/>
      <c r="K110" s="941"/>
      <c r="L110" s="941"/>
      <c r="M110" s="941"/>
      <c r="N110" s="942"/>
      <c r="O110" s="942"/>
      <c r="P110" s="942"/>
      <c r="Q110" s="942"/>
      <c r="R110" s="942"/>
      <c r="S110" s="942"/>
      <c r="T110" s="943"/>
      <c r="V110" s="945"/>
      <c r="W110" s="946"/>
      <c r="X110" s="946"/>
      <c r="Y110" s="946"/>
      <c r="Z110" s="946"/>
      <c r="AA110" s="946"/>
      <c r="AB110" s="946"/>
      <c r="AC110" s="946"/>
      <c r="AD110" s="946"/>
      <c r="AE110" s="946"/>
      <c r="AF110" s="946"/>
      <c r="AG110" s="946"/>
      <c r="AH110" s="946"/>
      <c r="AI110" s="947"/>
    </row>
    <row r="111" spans="2:35" s="944" customFormat="1" ht="18" customHeight="1">
      <c r="B111" s="939"/>
      <c r="C111" s="940" t="s">
        <v>94</v>
      </c>
      <c r="D111" s="940"/>
      <c r="E111" s="941"/>
      <c r="F111" s="941"/>
      <c r="G111" s="941"/>
      <c r="H111" s="941"/>
      <c r="I111" s="941"/>
      <c r="J111" s="941"/>
      <c r="K111" s="941"/>
      <c r="L111" s="941"/>
      <c r="M111" s="941"/>
      <c r="N111" s="942"/>
      <c r="O111" s="942"/>
      <c r="P111" s="942"/>
      <c r="Q111" s="942"/>
      <c r="R111" s="942"/>
      <c r="S111" s="942"/>
      <c r="T111" s="943"/>
      <c r="V111" s="945"/>
      <c r="W111" s="946"/>
      <c r="X111" s="946"/>
      <c r="Y111" s="946"/>
      <c r="Z111" s="946"/>
      <c r="AA111" s="946"/>
      <c r="AB111" s="946"/>
      <c r="AC111" s="946"/>
      <c r="AD111" s="946"/>
      <c r="AE111" s="946"/>
      <c r="AF111" s="946"/>
      <c r="AG111" s="946"/>
      <c r="AH111" s="946"/>
      <c r="AI111" s="947"/>
    </row>
    <row r="112" spans="2:35" s="944" customFormat="1" ht="18" customHeight="1">
      <c r="B112" s="939"/>
      <c r="C112" s="940" t="s">
        <v>93</v>
      </c>
      <c r="D112" s="940"/>
      <c r="E112" s="941"/>
      <c r="F112" s="941"/>
      <c r="G112" s="941"/>
      <c r="H112" s="941"/>
      <c r="I112" s="941"/>
      <c r="J112" s="941"/>
      <c r="K112" s="941"/>
      <c r="L112" s="941"/>
      <c r="M112" s="941"/>
      <c r="N112" s="942"/>
      <c r="O112" s="942"/>
      <c r="P112" s="942"/>
      <c r="Q112" s="942"/>
      <c r="R112" s="942"/>
      <c r="S112" s="942"/>
      <c r="T112" s="943"/>
      <c r="V112" s="945"/>
      <c r="W112" s="946"/>
      <c r="X112" s="946"/>
      <c r="Y112" s="946"/>
      <c r="Z112" s="946"/>
      <c r="AA112" s="946"/>
      <c r="AB112" s="946"/>
      <c r="AC112" s="946"/>
      <c r="AD112" s="946"/>
      <c r="AE112" s="946"/>
      <c r="AF112" s="946"/>
      <c r="AG112" s="946"/>
      <c r="AH112" s="946"/>
      <c r="AI112" s="947"/>
    </row>
    <row r="113" spans="2:35" s="944" customFormat="1" ht="18" customHeight="1">
      <c r="B113" s="939"/>
      <c r="C113" s="940" t="s">
        <v>1108</v>
      </c>
      <c r="D113" s="940"/>
      <c r="E113" s="941"/>
      <c r="F113" s="941"/>
      <c r="G113" s="941"/>
      <c r="H113" s="941"/>
      <c r="I113" s="941"/>
      <c r="J113" s="941"/>
      <c r="K113" s="941"/>
      <c r="L113" s="941"/>
      <c r="M113" s="941"/>
      <c r="N113" s="942"/>
      <c r="O113" s="942"/>
      <c r="P113" s="942"/>
      <c r="Q113" s="942"/>
      <c r="R113" s="942"/>
      <c r="S113" s="942"/>
      <c r="T113" s="943"/>
      <c r="V113" s="945"/>
      <c r="W113" s="946"/>
      <c r="X113" s="946"/>
      <c r="Y113" s="946"/>
      <c r="Z113" s="946"/>
      <c r="AA113" s="946"/>
      <c r="AB113" s="946"/>
      <c r="AC113" s="946"/>
      <c r="AD113" s="946"/>
      <c r="AE113" s="946"/>
      <c r="AF113" s="946"/>
      <c r="AG113" s="946"/>
      <c r="AH113" s="946"/>
      <c r="AI113" s="947"/>
    </row>
    <row r="114" spans="2:35" s="944" customFormat="1" ht="18" customHeight="1">
      <c r="B114" s="939"/>
      <c r="C114" s="948" t="s">
        <v>1093</v>
      </c>
      <c r="D114" s="940"/>
      <c r="E114" s="941"/>
      <c r="F114" s="941"/>
      <c r="G114" s="941"/>
      <c r="H114" s="941"/>
      <c r="I114" s="941"/>
      <c r="J114" s="941"/>
      <c r="K114" s="941"/>
      <c r="L114" s="941"/>
      <c r="M114" s="941"/>
      <c r="N114" s="942"/>
      <c r="O114" s="942"/>
      <c r="P114" s="942"/>
      <c r="Q114" s="942"/>
      <c r="R114" s="942"/>
      <c r="S114" s="942"/>
      <c r="T114" s="943"/>
      <c r="V114" s="945"/>
      <c r="W114" s="946"/>
      <c r="X114" s="946"/>
      <c r="Y114" s="946"/>
      <c r="Z114" s="946"/>
      <c r="AA114" s="946"/>
      <c r="AB114" s="946"/>
      <c r="AC114" s="946"/>
      <c r="AD114" s="946"/>
      <c r="AE114" s="946"/>
      <c r="AF114" s="946"/>
      <c r="AG114" s="946"/>
      <c r="AH114" s="946"/>
      <c r="AI114" s="947"/>
    </row>
    <row r="115" spans="2:35" s="944" customFormat="1" ht="18" customHeight="1">
      <c r="B115" s="939"/>
      <c r="C115" s="948" t="s">
        <v>140</v>
      </c>
      <c r="D115" s="940"/>
      <c r="E115" s="941"/>
      <c r="F115" s="941"/>
      <c r="G115" s="941"/>
      <c r="H115" s="941"/>
      <c r="I115" s="941"/>
      <c r="J115" s="941"/>
      <c r="K115" s="941"/>
      <c r="L115" s="941"/>
      <c r="M115" s="941"/>
      <c r="N115" s="942"/>
      <c r="O115" s="942"/>
      <c r="P115" s="942"/>
      <c r="Q115" s="942"/>
      <c r="R115" s="942"/>
      <c r="S115" s="942"/>
      <c r="T115" s="943"/>
      <c r="V115" s="945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7"/>
    </row>
    <row r="116" spans="2:35" s="944" customFormat="1" ht="18" customHeight="1">
      <c r="B116" s="939"/>
      <c r="C116" s="944" t="s">
        <v>141</v>
      </c>
      <c r="D116" s="940"/>
      <c r="E116" s="941"/>
      <c r="F116" s="941"/>
      <c r="G116" s="941"/>
      <c r="H116" s="941"/>
      <c r="I116" s="941"/>
      <c r="J116" s="941"/>
      <c r="K116" s="941"/>
      <c r="L116" s="941"/>
      <c r="M116" s="941"/>
      <c r="N116" s="942"/>
      <c r="O116" s="942"/>
      <c r="P116" s="942"/>
      <c r="Q116" s="942"/>
      <c r="R116" s="942"/>
      <c r="S116" s="942"/>
      <c r="T116" s="943"/>
      <c r="V116" s="945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7"/>
    </row>
    <row r="117" spans="2:35" s="944" customFormat="1" ht="18" customHeight="1">
      <c r="B117" s="939"/>
      <c r="C117" s="949" t="s">
        <v>142</v>
      </c>
      <c r="D117" s="940"/>
      <c r="E117" s="950"/>
      <c r="F117" s="950"/>
      <c r="G117" s="950"/>
      <c r="H117" s="950"/>
      <c r="I117" s="950"/>
      <c r="J117" s="950"/>
      <c r="K117" s="950"/>
      <c r="L117" s="950"/>
      <c r="M117" s="950"/>
      <c r="N117" s="942"/>
      <c r="O117" s="942"/>
      <c r="P117" s="942"/>
      <c r="Q117" s="942"/>
      <c r="R117" s="942"/>
      <c r="S117" s="942"/>
      <c r="T117" s="943"/>
      <c r="V117" s="945"/>
      <c r="W117" s="946"/>
      <c r="X117" s="946"/>
      <c r="Y117" s="946"/>
      <c r="Z117" s="946"/>
      <c r="AA117" s="946"/>
      <c r="AB117" s="946"/>
      <c r="AC117" s="946"/>
      <c r="AD117" s="946"/>
      <c r="AE117" s="946"/>
      <c r="AF117" s="946"/>
      <c r="AG117" s="946"/>
      <c r="AH117" s="946"/>
      <c r="AI117" s="947"/>
    </row>
    <row r="118" spans="2:35" s="944" customFormat="1" ht="18" customHeight="1">
      <c r="B118" s="939"/>
      <c r="C118" s="949" t="s">
        <v>143</v>
      </c>
      <c r="D118" s="940"/>
      <c r="E118" s="950"/>
      <c r="F118" s="950"/>
      <c r="G118" s="950"/>
      <c r="H118" s="950"/>
      <c r="I118" s="950"/>
      <c r="J118" s="950"/>
      <c r="K118" s="950"/>
      <c r="L118" s="950"/>
      <c r="M118" s="950"/>
      <c r="N118" s="942"/>
      <c r="O118" s="942"/>
      <c r="P118" s="942"/>
      <c r="Q118" s="942"/>
      <c r="R118" s="942"/>
      <c r="S118" s="942"/>
      <c r="T118" s="943"/>
      <c r="V118" s="945"/>
      <c r="W118" s="946"/>
      <c r="X118" s="946"/>
      <c r="Y118" s="946"/>
      <c r="Z118" s="946"/>
      <c r="AA118" s="946"/>
      <c r="AB118" s="946"/>
      <c r="AC118" s="946"/>
      <c r="AD118" s="946"/>
      <c r="AE118" s="946"/>
      <c r="AF118" s="946"/>
      <c r="AG118" s="946"/>
      <c r="AH118" s="946"/>
      <c r="AI118" s="947"/>
    </row>
    <row r="119" spans="2:35" s="944" customFormat="1" ht="18" customHeight="1">
      <c r="B119" s="939"/>
      <c r="C119" s="949" t="s">
        <v>144</v>
      </c>
      <c r="D119" s="940"/>
      <c r="E119" s="950"/>
      <c r="F119" s="950"/>
      <c r="G119" s="950"/>
      <c r="H119" s="950"/>
      <c r="I119" s="950"/>
      <c r="J119" s="950"/>
      <c r="K119" s="950"/>
      <c r="L119" s="950"/>
      <c r="M119" s="950"/>
      <c r="N119" s="942"/>
      <c r="O119" s="942"/>
      <c r="P119" s="942"/>
      <c r="Q119" s="942"/>
      <c r="R119" s="942"/>
      <c r="S119" s="942"/>
      <c r="T119" s="943"/>
      <c r="V119" s="945"/>
      <c r="W119" s="946"/>
      <c r="X119" s="946"/>
      <c r="Y119" s="946"/>
      <c r="Z119" s="946"/>
      <c r="AA119" s="946"/>
      <c r="AB119" s="946"/>
      <c r="AC119" s="946"/>
      <c r="AD119" s="946"/>
      <c r="AE119" s="946"/>
      <c r="AF119" s="946"/>
      <c r="AG119" s="946"/>
      <c r="AH119" s="946"/>
      <c r="AI119" s="947"/>
    </row>
    <row r="120" spans="2:35" ht="22.5" customHeight="1" thickBot="1">
      <c r="B120" s="639"/>
      <c r="C120" s="1292"/>
      <c r="D120" s="1292"/>
      <c r="E120" s="640"/>
      <c r="F120" s="640"/>
      <c r="G120" s="640"/>
      <c r="H120" s="640"/>
      <c r="I120" s="640"/>
      <c r="J120" s="640"/>
      <c r="K120" s="640"/>
      <c r="L120" s="640"/>
      <c r="M120" s="640"/>
      <c r="N120" s="640"/>
      <c r="O120" s="640"/>
      <c r="P120" s="640"/>
      <c r="Q120" s="640"/>
      <c r="R120" s="640"/>
      <c r="S120" s="640"/>
      <c r="T120" s="641"/>
      <c r="V120" s="951"/>
      <c r="W120" s="952"/>
      <c r="X120" s="952"/>
      <c r="Y120" s="952"/>
      <c r="Z120" s="952"/>
      <c r="AA120" s="952"/>
      <c r="AB120" s="952"/>
      <c r="AC120" s="952"/>
      <c r="AD120" s="952"/>
      <c r="AE120" s="952"/>
      <c r="AF120" s="952"/>
      <c r="AG120" s="952"/>
      <c r="AH120" s="952"/>
      <c r="AI120" s="953"/>
    </row>
    <row r="121" spans="3:21" ht="22.5" customHeight="1">
      <c r="C121" s="566"/>
      <c r="D121" s="566"/>
      <c r="E121" s="567"/>
      <c r="F121" s="567"/>
      <c r="G121" s="567"/>
      <c r="H121" s="567"/>
      <c r="I121" s="567"/>
      <c r="J121" s="567"/>
      <c r="K121" s="567"/>
      <c r="L121" s="567"/>
      <c r="M121" s="567"/>
      <c r="N121" s="567"/>
      <c r="O121" s="567"/>
      <c r="P121" s="567"/>
      <c r="Q121" s="567"/>
      <c r="R121" s="567"/>
      <c r="S121" s="567"/>
      <c r="U121" s="557" t="s">
        <v>83</v>
      </c>
    </row>
    <row r="122" spans="3:19" ht="12.75">
      <c r="C122" s="642" t="s">
        <v>286</v>
      </c>
      <c r="D122" s="566"/>
      <c r="E122" s="567"/>
      <c r="F122" s="567"/>
      <c r="G122" s="567"/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954" t="s">
        <v>271</v>
      </c>
    </row>
    <row r="123" spans="3:18" ht="12.75">
      <c r="C123" s="644" t="s">
        <v>287</v>
      </c>
      <c r="D123" s="566"/>
      <c r="E123" s="567"/>
      <c r="F123" s="567"/>
      <c r="G123" s="567"/>
      <c r="H123" s="567"/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</row>
    <row r="124" spans="3:19" ht="12.75">
      <c r="C124" s="644" t="s">
        <v>288</v>
      </c>
      <c r="D124" s="566"/>
      <c r="E124" s="567"/>
      <c r="F124" s="567"/>
      <c r="G124" s="567"/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</row>
    <row r="125" spans="3:19" ht="12.75">
      <c r="C125" s="644" t="s">
        <v>289</v>
      </c>
      <c r="D125" s="566"/>
      <c r="E125" s="567"/>
      <c r="F125" s="567"/>
      <c r="G125" s="567"/>
      <c r="H125" s="567"/>
      <c r="I125" s="567"/>
      <c r="J125" s="567"/>
      <c r="K125" s="567"/>
      <c r="L125" s="567"/>
      <c r="M125" s="567"/>
      <c r="N125" s="567"/>
      <c r="O125" s="567"/>
      <c r="P125" s="567"/>
      <c r="Q125" s="567"/>
      <c r="R125" s="567"/>
      <c r="S125" s="567"/>
    </row>
    <row r="126" spans="3:19" ht="12.75">
      <c r="C126" s="644" t="s">
        <v>290</v>
      </c>
      <c r="D126" s="566"/>
      <c r="E126" s="567"/>
      <c r="F126" s="567"/>
      <c r="G126" s="567"/>
      <c r="H126" s="567"/>
      <c r="I126" s="567"/>
      <c r="J126" s="567"/>
      <c r="K126" s="567"/>
      <c r="L126" s="567"/>
      <c r="M126" s="567"/>
      <c r="N126" s="567"/>
      <c r="O126" s="567"/>
      <c r="P126" s="567"/>
      <c r="Q126" s="567"/>
      <c r="R126" s="567"/>
      <c r="S126" s="567"/>
    </row>
    <row r="127" spans="3:19" ht="22.5" customHeight="1">
      <c r="C127" s="566"/>
      <c r="D127" s="566"/>
      <c r="E127" s="567"/>
      <c r="F127" s="567"/>
      <c r="G127" s="567"/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</row>
    <row r="128" spans="3:19" ht="22.5" customHeight="1">
      <c r="C128" s="566"/>
      <c r="D128" s="566"/>
      <c r="E128" s="567"/>
      <c r="F128" s="567"/>
      <c r="G128" s="567"/>
      <c r="H128" s="567"/>
      <c r="I128" s="567"/>
      <c r="J128" s="567"/>
      <c r="K128" s="567"/>
      <c r="L128" s="567"/>
      <c r="M128" s="567"/>
      <c r="N128" s="567"/>
      <c r="O128" s="567"/>
      <c r="P128" s="567"/>
      <c r="Q128" s="567"/>
      <c r="R128" s="567"/>
      <c r="S128" s="567"/>
    </row>
    <row r="129" spans="3:19" ht="22.5" customHeight="1">
      <c r="C129" s="566"/>
      <c r="D129" s="566"/>
      <c r="E129" s="567"/>
      <c r="F129" s="567"/>
      <c r="G129" s="567"/>
      <c r="H129" s="567"/>
      <c r="I129" s="567"/>
      <c r="J129" s="567"/>
      <c r="K129" s="567"/>
      <c r="L129" s="567"/>
      <c r="M129" s="567"/>
      <c r="N129" s="567"/>
      <c r="O129" s="567"/>
      <c r="P129" s="567"/>
      <c r="Q129" s="567"/>
      <c r="R129" s="567"/>
      <c r="S129" s="567"/>
    </row>
    <row r="130" spans="3:19" ht="22.5" customHeight="1">
      <c r="C130" s="566"/>
      <c r="D130" s="566"/>
      <c r="E130" s="567"/>
      <c r="F130" s="567"/>
      <c r="G130" s="567"/>
      <c r="H130" s="567"/>
      <c r="I130" s="567"/>
      <c r="J130" s="567"/>
      <c r="K130" s="567"/>
      <c r="L130" s="567"/>
      <c r="M130" s="567"/>
      <c r="N130" s="567"/>
      <c r="O130" s="567"/>
      <c r="P130" s="567"/>
      <c r="Q130" s="567"/>
      <c r="R130" s="567"/>
      <c r="S130" s="567"/>
    </row>
    <row r="131" spans="5:19" ht="22.5" customHeight="1">
      <c r="E131" s="567"/>
      <c r="F131" s="567"/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  <c r="Q131" s="567"/>
      <c r="R131" s="567"/>
      <c r="S131" s="567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PageLayoutView="125" workbookViewId="0" topLeftCell="A10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14.4453125" style="94" customWidth="1"/>
    <col min="5" max="5" width="26.6640625" style="95" customWidth="1"/>
    <col min="6" max="9" width="13.4453125" style="95" customWidth="1"/>
    <col min="10" max="10" width="3.3359375" style="94" customWidth="1"/>
    <col min="11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25" ht="9" customHeight="1">
      <c r="B5" s="96"/>
      <c r="C5" s="97"/>
      <c r="D5" s="97"/>
      <c r="E5" s="98"/>
      <c r="F5" s="98"/>
      <c r="G5" s="98"/>
      <c r="H5" s="98"/>
      <c r="I5" s="98"/>
      <c r="J5" s="99"/>
      <c r="L5" s="364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6"/>
    </row>
    <row r="6" spans="2:25" ht="30" customHeight="1">
      <c r="B6" s="100"/>
      <c r="C6" s="64" t="s">
        <v>216</v>
      </c>
      <c r="D6" s="101"/>
      <c r="E6" s="102"/>
      <c r="F6" s="102"/>
      <c r="G6" s="102"/>
      <c r="H6" s="102"/>
      <c r="I6" s="1285">
        <f>ejercicio</f>
        <v>2020</v>
      </c>
      <c r="J6" s="103"/>
      <c r="L6" s="367"/>
      <c r="M6" s="368" t="s">
        <v>906</v>
      </c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70"/>
    </row>
    <row r="7" spans="2:25" ht="30" customHeight="1">
      <c r="B7" s="100"/>
      <c r="C7" s="64" t="s">
        <v>217</v>
      </c>
      <c r="D7" s="101"/>
      <c r="E7" s="102"/>
      <c r="F7" s="102"/>
      <c r="G7" s="102"/>
      <c r="H7" s="102"/>
      <c r="I7" s="1285"/>
      <c r="J7" s="103"/>
      <c r="L7" s="367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70"/>
    </row>
    <row r="8" spans="2:25" ht="30" customHeight="1">
      <c r="B8" s="100"/>
      <c r="C8" s="104"/>
      <c r="D8" s="101"/>
      <c r="E8" s="102"/>
      <c r="F8" s="102"/>
      <c r="G8" s="102"/>
      <c r="H8" s="102"/>
      <c r="I8" s="105"/>
      <c r="J8" s="103"/>
      <c r="L8" s="367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70"/>
    </row>
    <row r="9" spans="2:25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1300"/>
      <c r="J9" s="180"/>
      <c r="L9" s="367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70"/>
    </row>
    <row r="10" spans="2:25" ht="6.75" customHeight="1">
      <c r="B10" s="100"/>
      <c r="C10" s="101"/>
      <c r="D10" s="101"/>
      <c r="E10" s="102"/>
      <c r="F10" s="102"/>
      <c r="G10" s="102"/>
      <c r="H10" s="102"/>
      <c r="I10" s="102"/>
      <c r="J10" s="103"/>
      <c r="L10" s="367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70"/>
    </row>
    <row r="11" spans="2:25" s="112" customFormat="1" ht="30" customHeight="1">
      <c r="B11" s="108"/>
      <c r="C11" s="109" t="s">
        <v>671</v>
      </c>
      <c r="D11" s="109"/>
      <c r="E11" s="110"/>
      <c r="F11" s="110"/>
      <c r="G11" s="110"/>
      <c r="H11" s="110"/>
      <c r="I11" s="110"/>
      <c r="J11" s="111"/>
      <c r="L11" s="367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70"/>
    </row>
    <row r="12" spans="2:25" s="112" customFormat="1" ht="30" customHeight="1">
      <c r="B12" s="108"/>
      <c r="C12" s="1369"/>
      <c r="D12" s="1369"/>
      <c r="E12" s="93"/>
      <c r="F12" s="93"/>
      <c r="G12" s="93"/>
      <c r="H12" s="93"/>
      <c r="I12" s="93"/>
      <c r="J12" s="111"/>
      <c r="L12" s="367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70"/>
    </row>
    <row r="13" spans="2:25" s="112" customFormat="1" ht="15.75" customHeight="1">
      <c r="B13" s="108"/>
      <c r="C13" s="211"/>
      <c r="D13" s="214"/>
      <c r="E13" s="155"/>
      <c r="F13" s="212" t="s">
        <v>673</v>
      </c>
      <c r="G13" s="1415" t="s">
        <v>678</v>
      </c>
      <c r="H13" s="1416"/>
      <c r="I13" s="1417"/>
      <c r="J13" s="111"/>
      <c r="L13" s="367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70"/>
    </row>
    <row r="14" spans="2:25" s="112" customFormat="1" ht="15.75" customHeight="1">
      <c r="B14" s="108"/>
      <c r="C14" s="213"/>
      <c r="D14" s="215"/>
      <c r="E14" s="216"/>
      <c r="F14" s="197" t="s">
        <v>674</v>
      </c>
      <c r="G14" s="212" t="s">
        <v>675</v>
      </c>
      <c r="H14" s="212" t="s">
        <v>676</v>
      </c>
      <c r="I14" s="212" t="s">
        <v>677</v>
      </c>
      <c r="J14" s="111"/>
      <c r="L14" s="367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70"/>
    </row>
    <row r="15" spans="2:25" s="181" customFormat="1" ht="15.75" customHeight="1">
      <c r="B15" s="179"/>
      <c r="C15" s="1418" t="s">
        <v>672</v>
      </c>
      <c r="D15" s="1419"/>
      <c r="E15" s="1420"/>
      <c r="F15" s="192">
        <f>ejercicio</f>
        <v>2020</v>
      </c>
      <c r="G15" s="192">
        <f>ejercicio+1</f>
        <v>2021</v>
      </c>
      <c r="H15" s="192">
        <f>ejercicio+1</f>
        <v>2021</v>
      </c>
      <c r="I15" s="192">
        <f>ejercicio+1</f>
        <v>2021</v>
      </c>
      <c r="J15" s="180"/>
      <c r="L15" s="367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70"/>
    </row>
    <row r="16" spans="2:25" s="181" customFormat="1" ht="7.5" customHeight="1">
      <c r="B16" s="179"/>
      <c r="C16" s="64"/>
      <c r="D16" s="64"/>
      <c r="E16" s="178"/>
      <c r="F16" s="178"/>
      <c r="G16" s="178"/>
      <c r="H16" s="178"/>
      <c r="I16" s="178"/>
      <c r="J16" s="180"/>
      <c r="L16" s="367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70"/>
    </row>
    <row r="17" spans="1:25" s="117" customFormat="1" ht="22.5" customHeight="1" thickBot="1">
      <c r="A17" s="181"/>
      <c r="B17" s="179"/>
      <c r="C17" s="154" t="s">
        <v>679</v>
      </c>
      <c r="D17" s="156"/>
      <c r="E17" s="219"/>
      <c r="F17" s="467"/>
      <c r="G17" s="468"/>
      <c r="H17" s="469"/>
      <c r="I17" s="508"/>
      <c r="J17" s="115"/>
      <c r="L17" s="367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70"/>
    </row>
    <row r="18" spans="1:25" s="117" customFormat="1" ht="9" customHeight="1">
      <c r="A18" s="181"/>
      <c r="B18" s="179"/>
      <c r="C18" s="31"/>
      <c r="D18" s="31"/>
      <c r="E18" s="31"/>
      <c r="F18" s="222"/>
      <c r="G18" s="223"/>
      <c r="H18" s="224"/>
      <c r="I18" s="225"/>
      <c r="J18" s="115"/>
      <c r="L18" s="367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70"/>
    </row>
    <row r="19" spans="1:25" s="117" customFormat="1" ht="22.5" customHeight="1" thickBot="1">
      <c r="A19" s="181"/>
      <c r="B19" s="179"/>
      <c r="C19" s="154" t="s">
        <v>499</v>
      </c>
      <c r="D19" s="156"/>
      <c r="E19" s="219"/>
      <c r="F19" s="124">
        <f>SUM(F20:F24)</f>
        <v>11701076.100000001</v>
      </c>
      <c r="G19" s="217">
        <f>SUM(G20:G24)</f>
        <v>0</v>
      </c>
      <c r="H19" s="218">
        <f>SUM(H20:H24)</f>
        <v>0</v>
      </c>
      <c r="I19" s="226">
        <f>SUM(I20:I24)</f>
        <v>818606.9</v>
      </c>
      <c r="J19" s="115"/>
      <c r="L19" s="367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70"/>
    </row>
    <row r="20" spans="2:25" s="117" customFormat="1" ht="22.5" customHeight="1">
      <c r="B20" s="114"/>
      <c r="C20" s="174" t="s">
        <v>680</v>
      </c>
      <c r="D20" s="175"/>
      <c r="E20" s="177"/>
      <c r="F20" s="457"/>
      <c r="G20" s="470"/>
      <c r="H20" s="440"/>
      <c r="I20" s="509"/>
      <c r="J20" s="115"/>
      <c r="L20" s="367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70"/>
    </row>
    <row r="21" spans="2:25" s="117" customFormat="1" ht="22.5" customHeight="1">
      <c r="B21" s="114"/>
      <c r="C21" s="174" t="s">
        <v>681</v>
      </c>
      <c r="D21" s="175"/>
      <c r="E21" s="177"/>
      <c r="F21" s="457">
        <f>'FC-4_PASIVO'!G51+'FC-4_PASIVO'!G68</f>
        <v>11615374.940000001</v>
      </c>
      <c r="G21" s="470"/>
      <c r="H21" s="440"/>
      <c r="I21" s="509">
        <v>818606.9</v>
      </c>
      <c r="J21" s="115"/>
      <c r="L21" s="367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70"/>
    </row>
    <row r="22" spans="2:25" s="117" customFormat="1" ht="22.5" customHeight="1">
      <c r="B22" s="114"/>
      <c r="C22" s="174" t="s">
        <v>682</v>
      </c>
      <c r="D22" s="175"/>
      <c r="E22" s="177"/>
      <c r="F22" s="457"/>
      <c r="G22" s="470"/>
      <c r="H22" s="440"/>
      <c r="I22" s="509"/>
      <c r="J22" s="115"/>
      <c r="L22" s="367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70"/>
    </row>
    <row r="23" spans="2:25" ht="22.5" customHeight="1">
      <c r="B23" s="114"/>
      <c r="C23" s="150" t="s">
        <v>683</v>
      </c>
      <c r="D23" s="151"/>
      <c r="E23" s="170"/>
      <c r="F23" s="458"/>
      <c r="G23" s="471"/>
      <c r="H23" s="433"/>
      <c r="I23" s="510"/>
      <c r="J23" s="103"/>
      <c r="L23" s="367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70"/>
    </row>
    <row r="24" spans="2:25" ht="22.5" customHeight="1">
      <c r="B24" s="114"/>
      <c r="C24" s="152" t="s">
        <v>684</v>
      </c>
      <c r="D24" s="153"/>
      <c r="E24" s="171"/>
      <c r="F24" s="460">
        <f>'FC-10_DEUDAS'!Q50</f>
        <v>85701.16</v>
      </c>
      <c r="G24" s="472"/>
      <c r="H24" s="437"/>
      <c r="I24" s="511"/>
      <c r="J24" s="103"/>
      <c r="L24" s="367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70"/>
    </row>
    <row r="25" spans="2:25" ht="7.5" customHeight="1">
      <c r="B25" s="100"/>
      <c r="C25" s="1421"/>
      <c r="D25" s="1421"/>
      <c r="E25" s="1421"/>
      <c r="F25" s="1421"/>
      <c r="G25" s="1421"/>
      <c r="H25" s="1421"/>
      <c r="I25" s="1421"/>
      <c r="J25" s="103"/>
      <c r="L25" s="367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70"/>
    </row>
    <row r="26" spans="1:25" s="117" customFormat="1" ht="22.5" customHeight="1" thickBot="1">
      <c r="A26" s="181"/>
      <c r="B26" s="179"/>
      <c r="C26" s="154" t="s">
        <v>685</v>
      </c>
      <c r="D26" s="156"/>
      <c r="E26" s="219"/>
      <c r="F26" s="124">
        <f>+SUM(F27:F28)</f>
        <v>0</v>
      </c>
      <c r="G26" s="217">
        <f>SUM(G27:G28)</f>
        <v>0</v>
      </c>
      <c r="H26" s="218">
        <f>SUM(H27:H28)</f>
        <v>0</v>
      </c>
      <c r="I26" s="226">
        <f>SUM(I27:I28)</f>
        <v>0</v>
      </c>
      <c r="J26" s="115"/>
      <c r="L26" s="367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70"/>
    </row>
    <row r="27" spans="2:25" s="117" customFormat="1" ht="22.5" customHeight="1">
      <c r="B27" s="114"/>
      <c r="C27" s="174" t="s">
        <v>686</v>
      </c>
      <c r="D27" s="175"/>
      <c r="E27" s="177"/>
      <c r="F27" s="457"/>
      <c r="G27" s="512"/>
      <c r="H27" s="513"/>
      <c r="I27" s="509"/>
      <c r="J27" s="115"/>
      <c r="L27" s="367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70"/>
    </row>
    <row r="28" spans="2:25" ht="22.5" customHeight="1">
      <c r="B28" s="114"/>
      <c r="C28" s="152" t="s">
        <v>687</v>
      </c>
      <c r="D28" s="153"/>
      <c r="E28" s="171"/>
      <c r="F28" s="460"/>
      <c r="G28" s="514"/>
      <c r="H28" s="515"/>
      <c r="I28" s="516"/>
      <c r="J28" s="103"/>
      <c r="L28" s="367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70"/>
    </row>
    <row r="29" spans="2:25" ht="7.5" customHeight="1">
      <c r="B29" s="100"/>
      <c r="C29" s="1421"/>
      <c r="D29" s="1421"/>
      <c r="E29" s="1421"/>
      <c r="F29" s="1421"/>
      <c r="G29" s="1421"/>
      <c r="H29" s="1421"/>
      <c r="I29" s="1421"/>
      <c r="J29" s="103"/>
      <c r="L29" s="367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70"/>
    </row>
    <row r="30" spans="2:25" ht="22.5" customHeight="1" thickBot="1">
      <c r="B30" s="114"/>
      <c r="C30" s="154" t="s">
        <v>688</v>
      </c>
      <c r="D30" s="156"/>
      <c r="E30" s="219"/>
      <c r="F30" s="124">
        <f>SUM(F31:F32)</f>
        <v>0</v>
      </c>
      <c r="G30" s="217">
        <f>SUM(G31:G32)</f>
        <v>0</v>
      </c>
      <c r="H30" s="218">
        <f>SUM(H31:H32)</f>
        <v>0</v>
      </c>
      <c r="I30" s="226">
        <f>SUM(I31:I32)</f>
        <v>0</v>
      </c>
      <c r="J30" s="103"/>
      <c r="L30" s="367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70"/>
    </row>
    <row r="31" spans="2:25" ht="22.5" customHeight="1">
      <c r="B31" s="114"/>
      <c r="C31" s="174" t="s">
        <v>686</v>
      </c>
      <c r="D31" s="175"/>
      <c r="E31" s="177"/>
      <c r="F31" s="457"/>
      <c r="G31" s="517"/>
      <c r="H31" s="518"/>
      <c r="I31" s="519"/>
      <c r="J31" s="103"/>
      <c r="L31" s="367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70"/>
    </row>
    <row r="32" spans="2:25" ht="22.5" customHeight="1">
      <c r="B32" s="114"/>
      <c r="C32" s="152" t="s">
        <v>687</v>
      </c>
      <c r="D32" s="153"/>
      <c r="E32" s="171"/>
      <c r="F32" s="460"/>
      <c r="G32" s="514"/>
      <c r="H32" s="515"/>
      <c r="I32" s="516"/>
      <c r="J32" s="103"/>
      <c r="L32" s="367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70"/>
    </row>
    <row r="33" spans="2:25" ht="22.5" customHeight="1">
      <c r="B33" s="114"/>
      <c r="C33" s="206"/>
      <c r="D33" s="206"/>
      <c r="E33" s="207"/>
      <c r="F33" s="208"/>
      <c r="G33" s="207"/>
      <c r="H33" s="207"/>
      <c r="I33" s="209"/>
      <c r="J33" s="103"/>
      <c r="L33" s="367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70"/>
    </row>
    <row r="34" spans="2:25" ht="22.5" customHeight="1">
      <c r="B34" s="114"/>
      <c r="C34" s="164" t="s">
        <v>621</v>
      </c>
      <c r="D34" s="162"/>
      <c r="E34" s="163"/>
      <c r="F34" s="163"/>
      <c r="G34" s="163"/>
      <c r="H34" s="163"/>
      <c r="I34" s="93"/>
      <c r="J34" s="103"/>
      <c r="L34" s="367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70"/>
    </row>
    <row r="35" spans="2:25" ht="18">
      <c r="B35" s="114"/>
      <c r="C35" s="221" t="s">
        <v>689</v>
      </c>
      <c r="D35" s="162"/>
      <c r="E35" s="163"/>
      <c r="F35" s="163"/>
      <c r="G35" s="163"/>
      <c r="H35" s="163"/>
      <c r="I35" s="93"/>
      <c r="J35" s="103"/>
      <c r="L35" s="367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70"/>
    </row>
    <row r="36" spans="2:25" ht="22.5" customHeight="1" thickBot="1">
      <c r="B36" s="118"/>
      <c r="C36" s="1299"/>
      <c r="D36" s="1299"/>
      <c r="E36" s="1299"/>
      <c r="F36" s="1299"/>
      <c r="G36" s="52"/>
      <c r="H36" s="52"/>
      <c r="I36" s="119"/>
      <c r="J36" s="120"/>
      <c r="L36" s="384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6"/>
    </row>
    <row r="37" spans="3:11" ht="22.5" customHeight="1">
      <c r="C37" s="101"/>
      <c r="D37" s="101"/>
      <c r="E37" s="102"/>
      <c r="F37" s="102"/>
      <c r="G37" s="102"/>
      <c r="H37" s="102"/>
      <c r="I37" s="102"/>
      <c r="K37" s="94" t="s">
        <v>83</v>
      </c>
    </row>
    <row r="38" spans="3:9" ht="12.75">
      <c r="C38" s="121" t="s">
        <v>286</v>
      </c>
      <c r="D38" s="101"/>
      <c r="E38" s="102"/>
      <c r="F38" s="102"/>
      <c r="G38" s="102"/>
      <c r="H38" s="102"/>
      <c r="I38" s="92" t="s">
        <v>273</v>
      </c>
    </row>
    <row r="39" spans="3:9" ht="12.75">
      <c r="C39" s="122" t="s">
        <v>287</v>
      </c>
      <c r="D39" s="101"/>
      <c r="E39" s="102"/>
      <c r="F39" s="102"/>
      <c r="G39" s="102"/>
      <c r="H39" s="102"/>
      <c r="I39" s="102"/>
    </row>
    <row r="40" spans="3:9" ht="12.75">
      <c r="C40" s="122" t="s">
        <v>288</v>
      </c>
      <c r="D40" s="101"/>
      <c r="E40" s="102"/>
      <c r="F40" s="102"/>
      <c r="G40" s="102"/>
      <c r="H40" s="102"/>
      <c r="I40" s="102"/>
    </row>
    <row r="41" spans="3:9" ht="12.75">
      <c r="C41" s="122" t="s">
        <v>289</v>
      </c>
      <c r="D41" s="101"/>
      <c r="E41" s="102"/>
      <c r="F41" s="102"/>
      <c r="G41" s="102"/>
      <c r="H41" s="102"/>
      <c r="I41" s="102"/>
    </row>
    <row r="42" spans="3:9" ht="12.75">
      <c r="C42" s="122" t="s">
        <v>290</v>
      </c>
      <c r="D42" s="101"/>
      <c r="E42" s="102"/>
      <c r="F42" s="102"/>
      <c r="G42" s="102"/>
      <c r="H42" s="102"/>
      <c r="I42" s="102"/>
    </row>
    <row r="43" spans="3:9" ht="22.5" customHeight="1">
      <c r="C43" s="101"/>
      <c r="D43" s="101"/>
      <c r="E43" s="102"/>
      <c r="F43" s="102"/>
      <c r="G43" s="102"/>
      <c r="H43" s="102"/>
      <c r="I43" s="102"/>
    </row>
    <row r="44" spans="3:9" ht="22.5" customHeight="1">
      <c r="C44" s="101"/>
      <c r="D44" s="101"/>
      <c r="E44" s="102"/>
      <c r="F44" s="102"/>
      <c r="G44" s="102"/>
      <c r="H44" s="102"/>
      <c r="I44" s="102"/>
    </row>
    <row r="45" spans="3:9" ht="22.5" customHeight="1">
      <c r="C45" s="101"/>
      <c r="D45" s="101"/>
      <c r="E45" s="102"/>
      <c r="F45" s="102"/>
      <c r="G45" s="102"/>
      <c r="H45" s="102"/>
      <c r="I45" s="102"/>
    </row>
    <row r="46" spans="3:9" ht="22.5" customHeight="1">
      <c r="C46" s="101"/>
      <c r="D46" s="101"/>
      <c r="E46" s="102"/>
      <c r="F46" s="102"/>
      <c r="G46" s="102"/>
      <c r="H46" s="102"/>
      <c r="I46" s="102"/>
    </row>
    <row r="47" spans="6:9" ht="22.5" customHeight="1">
      <c r="F47" s="102"/>
      <c r="G47" s="102"/>
      <c r="H47" s="102"/>
      <c r="I47" s="102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0" zoomScaleNormal="120" zoomScalePageLayoutView="125" workbookViewId="0" topLeftCell="A8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33.4453125" style="94" customWidth="1"/>
    <col min="5" max="14" width="13.4453125" style="95" customWidth="1"/>
    <col min="15" max="15" width="3.3359375" style="94" customWidth="1"/>
    <col min="16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30" ht="9" customHeight="1">
      <c r="B5" s="96"/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Q5" s="390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2"/>
    </row>
    <row r="6" spans="2:30" ht="30" customHeight="1">
      <c r="B6" s="100"/>
      <c r="C6" s="64" t="s">
        <v>216</v>
      </c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285">
        <f>ejercicio</f>
        <v>2020</v>
      </c>
      <c r="O6" s="103"/>
      <c r="Q6" s="393"/>
      <c r="R6" s="394" t="s">
        <v>906</v>
      </c>
      <c r="S6" s="394"/>
      <c r="T6" s="394"/>
      <c r="U6" s="394"/>
      <c r="V6" s="395"/>
      <c r="W6" s="395"/>
      <c r="X6" s="395"/>
      <c r="Y6" s="395"/>
      <c r="Z6" s="395"/>
      <c r="AA6" s="395"/>
      <c r="AB6" s="395"/>
      <c r="AC6" s="395"/>
      <c r="AD6" s="396"/>
    </row>
    <row r="7" spans="2:30" ht="30" customHeight="1">
      <c r="B7" s="100"/>
      <c r="C7" s="64" t="s">
        <v>217</v>
      </c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285"/>
      <c r="O7" s="103"/>
      <c r="Q7" s="393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6"/>
    </row>
    <row r="8" spans="2:30" ht="30" customHeight="1">
      <c r="B8" s="100"/>
      <c r="C8" s="104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5"/>
      <c r="O8" s="103"/>
      <c r="Q8" s="393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6"/>
    </row>
    <row r="9" spans="2:30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80"/>
      <c r="Q9" s="393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6"/>
    </row>
    <row r="10" spans="2:30" ht="6.75" customHeight="1">
      <c r="B10" s="100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Q10" s="393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6"/>
    </row>
    <row r="11" spans="2:30" s="112" customFormat="1" ht="30" customHeight="1">
      <c r="B11" s="108"/>
      <c r="C11" s="109" t="s">
        <v>691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  <c r="Q11" s="393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6"/>
    </row>
    <row r="12" spans="2:30" s="112" customFormat="1" ht="30" customHeight="1">
      <c r="B12" s="108"/>
      <c r="C12" s="1369"/>
      <c r="D12" s="136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11"/>
      <c r="Q12" s="393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6"/>
    </row>
    <row r="13" spans="2:30" s="112" customFormat="1" ht="18.75" customHeight="1">
      <c r="B13" s="108"/>
      <c r="C13" s="211"/>
      <c r="D13" s="214"/>
      <c r="E13" s="1422" t="s">
        <v>690</v>
      </c>
      <c r="F13" s="1423"/>
      <c r="G13" s="1423"/>
      <c r="H13" s="1423"/>
      <c r="I13" s="1423"/>
      <c r="J13" s="1423"/>
      <c r="K13" s="1423"/>
      <c r="L13" s="1423"/>
      <c r="M13" s="1423"/>
      <c r="N13" s="1424"/>
      <c r="O13" s="111"/>
      <c r="Q13" s="393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6"/>
    </row>
    <row r="14" spans="2:30" s="181" customFormat="1" ht="18.75" customHeight="1">
      <c r="B14" s="179"/>
      <c r="C14" s="1418" t="s">
        <v>672</v>
      </c>
      <c r="D14" s="1419"/>
      <c r="E14" s="228">
        <f>ejercicio+1</f>
        <v>2021</v>
      </c>
      <c r="F14" s="229">
        <f>ejercicio+2</f>
        <v>2022</v>
      </c>
      <c r="G14" s="229">
        <f>ejercicio+3</f>
        <v>2023</v>
      </c>
      <c r="H14" s="229">
        <f>ejercicio+4</f>
        <v>2024</v>
      </c>
      <c r="I14" s="229">
        <f>ejercicio+5</f>
        <v>2025</v>
      </c>
      <c r="J14" s="229">
        <f>ejercicio+6</f>
        <v>2026</v>
      </c>
      <c r="K14" s="229">
        <f>ejercicio+7</f>
        <v>2027</v>
      </c>
      <c r="L14" s="229">
        <f>ejercicio+8</f>
        <v>2028</v>
      </c>
      <c r="M14" s="229">
        <f>ejercicio+9</f>
        <v>2029</v>
      </c>
      <c r="N14" s="230">
        <f>ejercicio+10</f>
        <v>2030</v>
      </c>
      <c r="O14" s="180"/>
      <c r="Q14" s="393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6"/>
    </row>
    <row r="15" spans="2:30" s="117" customFormat="1" ht="22.5" customHeight="1">
      <c r="B15" s="114"/>
      <c r="C15" s="174" t="s">
        <v>680</v>
      </c>
      <c r="D15" s="175"/>
      <c r="E15" s="428"/>
      <c r="F15" s="429"/>
      <c r="G15" s="429"/>
      <c r="H15" s="429"/>
      <c r="I15" s="429"/>
      <c r="J15" s="429"/>
      <c r="K15" s="429"/>
      <c r="L15" s="429"/>
      <c r="M15" s="429"/>
      <c r="N15" s="782"/>
      <c r="O15" s="115"/>
      <c r="Q15" s="393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6"/>
    </row>
    <row r="16" spans="2:30" s="117" customFormat="1" ht="22.5" customHeight="1">
      <c r="B16" s="114"/>
      <c r="C16" s="174" t="s">
        <v>681</v>
      </c>
      <c r="D16" s="175"/>
      <c r="E16" s="439">
        <f>3274427.6+22833.73</f>
        <v>3297261.33</v>
      </c>
      <c r="F16" s="439">
        <v>3274427.6</v>
      </c>
      <c r="G16" s="439">
        <v>3274427.6</v>
      </c>
      <c r="H16" s="439">
        <v>1769258.41</v>
      </c>
      <c r="I16" s="440"/>
      <c r="J16" s="440"/>
      <c r="K16" s="440"/>
      <c r="L16" s="440"/>
      <c r="M16" s="440"/>
      <c r="N16" s="509"/>
      <c r="O16" s="115"/>
      <c r="Q16" s="393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6"/>
    </row>
    <row r="17" spans="2:30" s="117" customFormat="1" ht="22.5" customHeight="1">
      <c r="B17" s="114"/>
      <c r="C17" s="174" t="s">
        <v>682</v>
      </c>
      <c r="D17" s="175"/>
      <c r="E17" s="439"/>
      <c r="F17" s="440"/>
      <c r="G17" s="440"/>
      <c r="H17" s="440"/>
      <c r="I17" s="440"/>
      <c r="J17" s="440"/>
      <c r="K17" s="440"/>
      <c r="L17" s="440"/>
      <c r="M17" s="440"/>
      <c r="N17" s="509"/>
      <c r="O17" s="115"/>
      <c r="Q17" s="393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6"/>
    </row>
    <row r="18" spans="2:30" ht="22.5" customHeight="1">
      <c r="B18" s="114"/>
      <c r="C18" s="150" t="s">
        <v>683</v>
      </c>
      <c r="D18" s="151"/>
      <c r="E18" s="432"/>
      <c r="F18" s="433"/>
      <c r="G18" s="433"/>
      <c r="H18" s="433"/>
      <c r="I18" s="433"/>
      <c r="J18" s="433"/>
      <c r="K18" s="433"/>
      <c r="L18" s="433"/>
      <c r="M18" s="433"/>
      <c r="N18" s="510"/>
      <c r="O18" s="103"/>
      <c r="Q18" s="393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6"/>
    </row>
    <row r="19" spans="2:30" ht="22.5" customHeight="1">
      <c r="B19" s="114"/>
      <c r="C19" s="152" t="s">
        <v>684</v>
      </c>
      <c r="D19" s="153"/>
      <c r="E19" s="436">
        <f>'FC-10_DEUDAS'!R50</f>
        <v>17587.11</v>
      </c>
      <c r="F19" s="437">
        <v>28568</v>
      </c>
      <c r="G19" s="437">
        <v>28568</v>
      </c>
      <c r="H19" s="437">
        <v>10978.05</v>
      </c>
      <c r="I19" s="437"/>
      <c r="J19" s="437"/>
      <c r="K19" s="437"/>
      <c r="L19" s="437"/>
      <c r="M19" s="437"/>
      <c r="N19" s="511"/>
      <c r="O19" s="103"/>
      <c r="Q19" s="393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6"/>
    </row>
    <row r="20" spans="1:30" s="117" customFormat="1" ht="22.5" customHeight="1" thickBot="1">
      <c r="A20" s="181"/>
      <c r="B20" s="179"/>
      <c r="C20" s="154" t="s">
        <v>692</v>
      </c>
      <c r="D20" s="156"/>
      <c r="E20" s="227">
        <f>SUM(E15:E19)</f>
        <v>3314848.44</v>
      </c>
      <c r="F20" s="218">
        <f aca="true" t="shared" si="0" ref="F20:N20">SUM(F15:F19)</f>
        <v>3302995.6</v>
      </c>
      <c r="G20" s="218">
        <f t="shared" si="0"/>
        <v>3302995.6</v>
      </c>
      <c r="H20" s="218">
        <f t="shared" si="0"/>
        <v>1780236.46</v>
      </c>
      <c r="I20" s="218">
        <f t="shared" si="0"/>
        <v>0</v>
      </c>
      <c r="J20" s="218">
        <f t="shared" si="0"/>
        <v>0</v>
      </c>
      <c r="K20" s="218">
        <f t="shared" si="0"/>
        <v>0</v>
      </c>
      <c r="L20" s="218">
        <f t="shared" si="0"/>
        <v>0</v>
      </c>
      <c r="M20" s="218">
        <f t="shared" si="0"/>
        <v>0</v>
      </c>
      <c r="N20" s="226">
        <f t="shared" si="0"/>
        <v>0</v>
      </c>
      <c r="O20" s="115"/>
      <c r="Q20" s="393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6"/>
    </row>
    <row r="21" spans="2:30" ht="22.5" customHeight="1">
      <c r="B21" s="114"/>
      <c r="C21" s="206"/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9"/>
      <c r="O21" s="103"/>
      <c r="Q21" s="393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6"/>
    </row>
    <row r="22" spans="2:30" ht="22.5" customHeight="1">
      <c r="B22" s="114"/>
      <c r="C22" s="164" t="s">
        <v>1161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3"/>
      <c r="N22" s="93"/>
      <c r="O22" s="103"/>
      <c r="Q22" s="393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6"/>
    </row>
    <row r="23" spans="2:30" ht="18">
      <c r="B23" s="114"/>
      <c r="C23" s="221" t="s">
        <v>689</v>
      </c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93"/>
      <c r="O23" s="103"/>
      <c r="Q23" s="393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6"/>
    </row>
    <row r="24" spans="2:30" ht="22.5" customHeight="1" thickBot="1">
      <c r="B24" s="118"/>
      <c r="C24" s="1299"/>
      <c r="D24" s="1299"/>
      <c r="E24" s="52"/>
      <c r="F24" s="52"/>
      <c r="G24" s="52"/>
      <c r="H24" s="52"/>
      <c r="I24" s="52"/>
      <c r="J24" s="52"/>
      <c r="K24" s="52"/>
      <c r="L24" s="52"/>
      <c r="M24" s="52"/>
      <c r="N24" s="119"/>
      <c r="O24" s="120"/>
      <c r="Q24" s="387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9"/>
    </row>
    <row r="25" spans="3:16" ht="22.5" customHeight="1">
      <c r="C25" s="101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P25" s="94" t="s">
        <v>83</v>
      </c>
    </row>
    <row r="26" spans="3:14" ht="12.75">
      <c r="C26" s="121" t="s">
        <v>286</v>
      </c>
      <c r="D26" s="101"/>
      <c r="E26" s="102"/>
      <c r="F26" s="102"/>
      <c r="G26" s="102"/>
      <c r="H26" s="102"/>
      <c r="I26" s="102"/>
      <c r="J26" s="102"/>
      <c r="K26" s="102"/>
      <c r="L26" s="102"/>
      <c r="M26" s="102"/>
      <c r="N26" s="92" t="s">
        <v>275</v>
      </c>
    </row>
    <row r="27" spans="3:14" ht="12.75">
      <c r="C27" s="122" t="s">
        <v>287</v>
      </c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3:14" ht="12.75">
      <c r="C28" s="122" t="s">
        <v>288</v>
      </c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3:14" ht="12.75">
      <c r="C29" s="122" t="s">
        <v>289</v>
      </c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3:14" ht="12.75">
      <c r="C30" s="122" t="s">
        <v>290</v>
      </c>
      <c r="D30" s="101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3:14" ht="22.5" customHeight="1">
      <c r="C31" s="101"/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3:14" ht="22.5" customHeight="1">
      <c r="C32" s="101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3:14" ht="22.5" customHeight="1">
      <c r="C33" s="101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3:14" ht="22.5" customHeight="1">
      <c r="C34" s="101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5:14" ht="22.5" customHeight="1"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20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5.3359375" style="94" customWidth="1"/>
    <col min="4" max="4" width="18.6640625" style="94" customWidth="1"/>
    <col min="5" max="5" width="13.3359375" style="94" customWidth="1"/>
    <col min="6" max="10" width="18.6640625" style="95" customWidth="1"/>
    <col min="11" max="11" width="3.3359375" style="94" customWidth="1"/>
    <col min="12" max="16384" width="10.6640625" style="94" customWidth="1"/>
  </cols>
  <sheetData>
    <row r="2" ht="22.5" customHeight="1">
      <c r="E2" s="299" t="str">
        <f>_GENERAL!D2</f>
        <v>Área de Presidencia, Hacienda y Modernización</v>
      </c>
    </row>
    <row r="3" ht="22.5" customHeight="1">
      <c r="E3" s="299" t="str">
        <f>_GENERAL!D3</f>
        <v>Dirección Insular de Hacienda</v>
      </c>
    </row>
    <row r="4" ht="22.5" customHeight="1" thickBot="1">
      <c r="A4" s="94" t="s">
        <v>82</v>
      </c>
    </row>
    <row r="5" spans="2:26" ht="9" customHeight="1">
      <c r="B5" s="96"/>
      <c r="C5" s="97"/>
      <c r="D5" s="97"/>
      <c r="E5" s="97"/>
      <c r="F5" s="98"/>
      <c r="G5" s="98"/>
      <c r="H5" s="98"/>
      <c r="I5" s="98"/>
      <c r="J5" s="98"/>
      <c r="K5" s="99"/>
      <c r="M5" s="390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2"/>
    </row>
    <row r="6" spans="2:26" ht="30" customHeight="1">
      <c r="B6" s="100"/>
      <c r="C6" s="64" t="s">
        <v>216</v>
      </c>
      <c r="D6" s="101"/>
      <c r="E6" s="102"/>
      <c r="F6" s="102"/>
      <c r="G6" s="102"/>
      <c r="H6" s="102"/>
      <c r="I6" s="102"/>
      <c r="J6" s="1285">
        <f>ejercicio</f>
        <v>2020</v>
      </c>
      <c r="K6" s="103"/>
      <c r="M6" s="393"/>
      <c r="N6" s="394" t="s">
        <v>906</v>
      </c>
      <c r="O6" s="394"/>
      <c r="P6" s="394"/>
      <c r="Q6" s="394"/>
      <c r="R6" s="395"/>
      <c r="S6" s="395"/>
      <c r="T6" s="395"/>
      <c r="U6" s="395"/>
      <c r="V6" s="395"/>
      <c r="W6" s="395"/>
      <c r="X6" s="395"/>
      <c r="Y6" s="395"/>
      <c r="Z6" s="396"/>
    </row>
    <row r="7" spans="2:26" ht="30" customHeight="1">
      <c r="B7" s="100"/>
      <c r="C7" s="64" t="s">
        <v>217</v>
      </c>
      <c r="D7" s="101"/>
      <c r="E7" s="102"/>
      <c r="F7" s="102"/>
      <c r="G7" s="102"/>
      <c r="H7" s="102"/>
      <c r="I7" s="102"/>
      <c r="J7" s="1285"/>
      <c r="K7" s="103"/>
      <c r="M7" s="393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6"/>
    </row>
    <row r="8" spans="2:26" ht="30" customHeight="1">
      <c r="B8" s="100"/>
      <c r="C8" s="104"/>
      <c r="D8" s="101"/>
      <c r="E8" s="102"/>
      <c r="F8" s="102"/>
      <c r="G8" s="102"/>
      <c r="H8" s="102"/>
      <c r="I8" s="102"/>
      <c r="J8" s="105"/>
      <c r="K8" s="103"/>
      <c r="M8" s="393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6"/>
    </row>
    <row r="9" spans="2:26" s="181" customFormat="1" ht="30" customHeight="1">
      <c r="B9" s="179"/>
      <c r="C9" s="39" t="s">
        <v>218</v>
      </c>
      <c r="D9" s="248"/>
      <c r="E9" s="1300" t="str">
        <f>Entidad</f>
        <v>INSTITUTO TECNOLOGICO Y DE ENERGIAS RENOVABLES S.A.</v>
      </c>
      <c r="F9" s="1300"/>
      <c r="G9" s="1300"/>
      <c r="H9" s="1300"/>
      <c r="I9" s="1300"/>
      <c r="J9" s="1300"/>
      <c r="K9" s="103"/>
      <c r="M9" s="393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6"/>
    </row>
    <row r="10" spans="2:26" ht="6.75" customHeight="1">
      <c r="B10" s="100"/>
      <c r="C10" s="101"/>
      <c r="D10" s="101"/>
      <c r="E10" s="102"/>
      <c r="F10" s="102"/>
      <c r="G10" s="102"/>
      <c r="H10" s="102"/>
      <c r="I10" s="102"/>
      <c r="J10" s="101"/>
      <c r="K10" s="103"/>
      <c r="M10" s="393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6"/>
    </row>
    <row r="11" spans="2:26" s="112" customFormat="1" ht="30" customHeight="1">
      <c r="B11" s="108"/>
      <c r="C11" s="109" t="s">
        <v>704</v>
      </c>
      <c r="D11" s="109"/>
      <c r="E11" s="110"/>
      <c r="F11" s="110"/>
      <c r="G11" s="110"/>
      <c r="H11" s="110"/>
      <c r="I11" s="110"/>
      <c r="J11" s="110"/>
      <c r="K11" s="103"/>
      <c r="M11" s="393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6"/>
    </row>
    <row r="12" spans="2:26" s="112" customFormat="1" ht="30" customHeight="1">
      <c r="B12" s="108"/>
      <c r="C12" s="1369"/>
      <c r="D12" s="1369"/>
      <c r="E12" s="93"/>
      <c r="F12" s="93"/>
      <c r="G12" s="93"/>
      <c r="H12" s="93"/>
      <c r="I12" s="93"/>
      <c r="J12" s="247"/>
      <c r="K12" s="103"/>
      <c r="M12" s="393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6"/>
    </row>
    <row r="13" spans="2:26" ht="28.5" customHeight="1">
      <c r="B13" s="114"/>
      <c r="C13" s="63" t="s">
        <v>729</v>
      </c>
      <c r="D13" s="147"/>
      <c r="E13" s="93"/>
      <c r="F13" s="93"/>
      <c r="G13" s="93"/>
      <c r="H13" s="93"/>
      <c r="I13" s="93"/>
      <c r="J13" s="101"/>
      <c r="K13" s="103"/>
      <c r="M13" s="393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6"/>
    </row>
    <row r="14" spans="2:26" ht="24.75" customHeight="1">
      <c r="B14" s="114"/>
      <c r="C14" s="531" t="s">
        <v>738</v>
      </c>
      <c r="D14" s="532"/>
      <c r="E14" s="147"/>
      <c r="F14" s="93"/>
      <c r="G14" s="93"/>
      <c r="H14" s="93"/>
      <c r="I14" s="93"/>
      <c r="J14" s="93"/>
      <c r="K14" s="103"/>
      <c r="M14" s="393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6"/>
    </row>
    <row r="15" spans="2:26" ht="22.5" customHeight="1">
      <c r="B15" s="114"/>
      <c r="C15" s="473" t="s">
        <v>884</v>
      </c>
      <c r="D15" s="206" t="s">
        <v>705</v>
      </c>
      <c r="F15" s="93"/>
      <c r="G15" s="93"/>
      <c r="H15" s="93"/>
      <c r="I15" s="93"/>
      <c r="J15" s="93"/>
      <c r="K15" s="103"/>
      <c r="M15" s="393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6"/>
    </row>
    <row r="16" spans="2:26" ht="9" customHeight="1">
      <c r="B16" s="114"/>
      <c r="C16" s="146"/>
      <c r="D16" s="206"/>
      <c r="F16" s="93"/>
      <c r="G16" s="93"/>
      <c r="H16" s="93"/>
      <c r="I16" s="93"/>
      <c r="J16" s="93"/>
      <c r="K16" s="103"/>
      <c r="M16" s="393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6"/>
    </row>
    <row r="17" spans="2:26" ht="22.5" customHeight="1">
      <c r="B17" s="114"/>
      <c r="C17" s="473"/>
      <c r="D17" s="206" t="s">
        <v>706</v>
      </c>
      <c r="F17" s="93"/>
      <c r="G17" s="93"/>
      <c r="H17" s="93"/>
      <c r="I17" s="93"/>
      <c r="J17" s="93"/>
      <c r="K17" s="103"/>
      <c r="M17" s="393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6"/>
    </row>
    <row r="18" spans="2:26" ht="9.75" customHeight="1">
      <c r="B18" s="114"/>
      <c r="C18" s="146"/>
      <c r="D18" s="206"/>
      <c r="F18" s="93"/>
      <c r="G18" s="93"/>
      <c r="H18" s="93"/>
      <c r="I18" s="93"/>
      <c r="J18" s="93"/>
      <c r="K18" s="103"/>
      <c r="M18" s="393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6"/>
    </row>
    <row r="19" spans="2:26" ht="22.5" customHeight="1">
      <c r="B19" s="114"/>
      <c r="C19" s="473"/>
      <c r="D19" s="206" t="s">
        <v>707</v>
      </c>
      <c r="F19" s="93"/>
      <c r="G19" s="93"/>
      <c r="H19" s="93"/>
      <c r="I19" s="93"/>
      <c r="J19" s="93"/>
      <c r="K19" s="103"/>
      <c r="M19" s="393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6"/>
    </row>
    <row r="20" spans="2:26" ht="9" customHeight="1">
      <c r="B20" s="114"/>
      <c r="C20" s="146"/>
      <c r="D20" s="206"/>
      <c r="F20" s="93"/>
      <c r="G20" s="93"/>
      <c r="H20" s="93"/>
      <c r="I20" s="93"/>
      <c r="J20" s="93"/>
      <c r="K20" s="103"/>
      <c r="M20" s="393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6"/>
    </row>
    <row r="21" spans="2:26" ht="22.5" customHeight="1">
      <c r="B21" s="114"/>
      <c r="C21" s="473"/>
      <c r="D21" s="206" t="s">
        <v>708</v>
      </c>
      <c r="F21" s="93"/>
      <c r="G21" s="93"/>
      <c r="H21" s="93"/>
      <c r="I21" s="93"/>
      <c r="J21" s="93"/>
      <c r="K21" s="103"/>
      <c r="M21" s="393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6"/>
    </row>
    <row r="22" spans="2:26" ht="9" customHeight="1">
      <c r="B22" s="114"/>
      <c r="C22" s="146"/>
      <c r="D22" s="206"/>
      <c r="F22" s="93"/>
      <c r="G22" s="93"/>
      <c r="H22" s="93"/>
      <c r="I22" s="93"/>
      <c r="J22" s="93"/>
      <c r="K22" s="103"/>
      <c r="M22" s="393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6"/>
    </row>
    <row r="23" spans="2:26" ht="22.5" customHeight="1">
      <c r="B23" s="114"/>
      <c r="C23" s="473"/>
      <c r="D23" s="206" t="s">
        <v>709</v>
      </c>
      <c r="F23" s="93"/>
      <c r="G23" s="93"/>
      <c r="H23" s="93"/>
      <c r="I23" s="93"/>
      <c r="J23" s="93"/>
      <c r="K23" s="103"/>
      <c r="M23" s="393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6"/>
    </row>
    <row r="24" spans="2:26" ht="22.5" customHeight="1">
      <c r="B24" s="114"/>
      <c r="C24" s="146"/>
      <c r="D24" s="206"/>
      <c r="F24" s="93"/>
      <c r="G24" s="93"/>
      <c r="H24" s="93"/>
      <c r="I24" s="93"/>
      <c r="J24" s="93"/>
      <c r="K24" s="103"/>
      <c r="M24" s="393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6"/>
    </row>
    <row r="25" spans="2:26" ht="22.5" customHeight="1">
      <c r="B25" s="114"/>
      <c r="C25" s="31"/>
      <c r="D25" s="147"/>
      <c r="E25" s="147"/>
      <c r="F25" s="93"/>
      <c r="G25" s="93"/>
      <c r="H25" s="93"/>
      <c r="I25" s="93"/>
      <c r="J25" s="93"/>
      <c r="K25" s="103"/>
      <c r="M25" s="393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6"/>
    </row>
    <row r="26" spans="2:26" ht="22.5" customHeight="1">
      <c r="B26" s="114"/>
      <c r="C26" s="63" t="s">
        <v>712</v>
      </c>
      <c r="E26" s="147"/>
      <c r="F26" s="93"/>
      <c r="G26" s="93"/>
      <c r="H26" s="93"/>
      <c r="I26" s="93"/>
      <c r="J26" s="93"/>
      <c r="K26" s="103"/>
      <c r="M26" s="393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6"/>
    </row>
    <row r="27" spans="2:26" ht="9" customHeight="1">
      <c r="B27" s="114"/>
      <c r="C27" s="63"/>
      <c r="E27" s="147"/>
      <c r="F27" s="93"/>
      <c r="G27" s="93"/>
      <c r="H27" s="93"/>
      <c r="I27" s="93"/>
      <c r="J27" s="93"/>
      <c r="K27" s="103"/>
      <c r="M27" s="393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6"/>
    </row>
    <row r="28" spans="2:26" ht="22.5" customHeight="1">
      <c r="B28" s="114"/>
      <c r="C28" s="182" t="str">
        <f>IF(VLOOKUP("X",C15:D23,2,FALSE)="#N/A",VLOOKUP("x",C15:D23,2,FALSE),VLOOKUP("X",C15:D23,2,FALSE))</f>
        <v>  Administracion General y Resto de sectores</v>
      </c>
      <c r="D28" s="183"/>
      <c r="E28" s="183"/>
      <c r="F28" s="183"/>
      <c r="G28" s="183"/>
      <c r="H28" s="257"/>
      <c r="I28" s="93"/>
      <c r="J28" s="93"/>
      <c r="K28" s="103"/>
      <c r="M28" s="393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6"/>
    </row>
    <row r="29" spans="2:26" ht="22.5" customHeight="1">
      <c r="B29" s="114"/>
      <c r="C29" s="31"/>
      <c r="D29" s="147"/>
      <c r="E29" s="147"/>
      <c r="F29" s="93"/>
      <c r="G29" s="93"/>
      <c r="H29" s="93"/>
      <c r="I29" s="93"/>
      <c r="J29" s="93"/>
      <c r="K29" s="103"/>
      <c r="M29" s="393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6"/>
    </row>
    <row r="30" spans="2:26" s="126" customFormat="1" ht="22.5" customHeight="1">
      <c r="B30" s="158"/>
      <c r="C30" s="182" t="s">
        <v>710</v>
      </c>
      <c r="D30" s="173"/>
      <c r="E30" s="199"/>
      <c r="F30" s="184">
        <f>E45</f>
        <v>211</v>
      </c>
      <c r="G30" s="93"/>
      <c r="H30" s="93"/>
      <c r="I30" s="93"/>
      <c r="J30" s="93"/>
      <c r="K30" s="125"/>
      <c r="M30" s="393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6"/>
    </row>
    <row r="31" spans="2:26" s="126" customFormat="1" ht="22.5" customHeight="1">
      <c r="B31" s="158"/>
      <c r="C31" s="263" t="s">
        <v>711</v>
      </c>
      <c r="D31" s="264"/>
      <c r="E31" s="265"/>
      <c r="F31" s="184">
        <f>J45+F53</f>
        <v>6581379.720000001</v>
      </c>
      <c r="G31" s="93"/>
      <c r="H31" s="93"/>
      <c r="I31" s="93"/>
      <c r="J31" s="93"/>
      <c r="K31" s="125"/>
      <c r="M31" s="393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6"/>
    </row>
    <row r="32" spans="2:26" ht="22.5" customHeight="1">
      <c r="B32" s="114"/>
      <c r="D32" s="206"/>
      <c r="E32" s="147"/>
      <c r="F32" s="207"/>
      <c r="G32" s="93"/>
      <c r="H32" s="93"/>
      <c r="I32" s="93"/>
      <c r="J32" s="93"/>
      <c r="K32" s="103"/>
      <c r="M32" s="393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6"/>
    </row>
    <row r="33" spans="2:26" ht="22.5" customHeight="1">
      <c r="B33" s="114"/>
      <c r="C33" s="31"/>
      <c r="D33" s="147"/>
      <c r="E33" s="147"/>
      <c r="F33" s="93"/>
      <c r="G33" s="93"/>
      <c r="H33" s="93"/>
      <c r="I33" s="93"/>
      <c r="J33" s="93"/>
      <c r="K33" s="103"/>
      <c r="M33" s="393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6"/>
    </row>
    <row r="34" spans="2:26" ht="22.5" customHeight="1">
      <c r="B34" s="114"/>
      <c r="C34" s="63" t="s">
        <v>713</v>
      </c>
      <c r="E34" s="147"/>
      <c r="F34" s="93"/>
      <c r="G34" s="93"/>
      <c r="H34" s="93"/>
      <c r="I34" s="93"/>
      <c r="J34" s="93"/>
      <c r="K34" s="103"/>
      <c r="M34" s="393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6"/>
    </row>
    <row r="35" spans="2:26" ht="22.5" customHeight="1">
      <c r="B35" s="114"/>
      <c r="C35" s="31"/>
      <c r="D35" s="147"/>
      <c r="E35" s="147"/>
      <c r="F35" s="93"/>
      <c r="G35" s="93"/>
      <c r="H35" s="93"/>
      <c r="I35" s="93"/>
      <c r="J35" s="93"/>
      <c r="K35" s="103"/>
      <c r="M35" s="393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6"/>
    </row>
    <row r="36" spans="2:26" s="231" customFormat="1" ht="22.5" customHeight="1">
      <c r="B36" s="232"/>
      <c r="C36" s="249"/>
      <c r="D36" s="252"/>
      <c r="E36" s="233"/>
      <c r="F36" s="1360" t="s">
        <v>732</v>
      </c>
      <c r="G36" s="1361"/>
      <c r="H36" s="1361"/>
      <c r="I36" s="1361"/>
      <c r="J36" s="1362"/>
      <c r="K36" s="234"/>
      <c r="M36" s="393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6"/>
    </row>
    <row r="37" spans="2:26" s="231" customFormat="1" ht="24" customHeight="1">
      <c r="B37" s="232"/>
      <c r="C37" s="1390" t="s">
        <v>714</v>
      </c>
      <c r="D37" s="1391"/>
      <c r="E37" s="236" t="s">
        <v>721</v>
      </c>
      <c r="F37" s="235" t="s">
        <v>723</v>
      </c>
      <c r="G37" s="235" t="s">
        <v>885</v>
      </c>
      <c r="H37" s="235" t="s">
        <v>726</v>
      </c>
      <c r="I37" s="235" t="s">
        <v>728</v>
      </c>
      <c r="J37" s="245" t="s">
        <v>730</v>
      </c>
      <c r="K37" s="234"/>
      <c r="M37" s="393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6"/>
    </row>
    <row r="38" spans="2:26" s="231" customFormat="1" ht="24" customHeight="1">
      <c r="B38" s="232"/>
      <c r="C38" s="1392" t="s">
        <v>277</v>
      </c>
      <c r="D38" s="1393"/>
      <c r="E38" s="238" t="s">
        <v>722</v>
      </c>
      <c r="F38" s="237" t="s">
        <v>724</v>
      </c>
      <c r="G38" s="237" t="s">
        <v>725</v>
      </c>
      <c r="H38" s="237" t="s">
        <v>727</v>
      </c>
      <c r="I38" s="237" t="s">
        <v>731</v>
      </c>
      <c r="J38" s="240" t="s">
        <v>731</v>
      </c>
      <c r="K38" s="234"/>
      <c r="M38" s="393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6"/>
    </row>
    <row r="39" spans="2:26" ht="22.5" customHeight="1">
      <c r="B39" s="114"/>
      <c r="C39" s="174" t="s">
        <v>715</v>
      </c>
      <c r="D39" s="255"/>
      <c r="E39" s="524"/>
      <c r="F39" s="523"/>
      <c r="G39" s="523"/>
      <c r="H39" s="523"/>
      <c r="I39" s="523"/>
      <c r="J39" s="533">
        <f aca="true" t="shared" si="0" ref="J39:J44">SUM(F39:I39)</f>
        <v>0</v>
      </c>
      <c r="K39" s="103"/>
      <c r="M39" s="393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6"/>
    </row>
    <row r="40" spans="2:26" ht="22.5" customHeight="1">
      <c r="B40" s="114"/>
      <c r="C40" s="174" t="s">
        <v>716</v>
      </c>
      <c r="D40" s="255"/>
      <c r="E40" s="524">
        <v>2</v>
      </c>
      <c r="F40" s="523">
        <v>128222.64</v>
      </c>
      <c r="G40" s="523"/>
      <c r="H40" s="523"/>
      <c r="I40" s="523">
        <v>21370.44</v>
      </c>
      <c r="J40" s="533">
        <f t="shared" si="0"/>
        <v>149593.08</v>
      </c>
      <c r="K40" s="103"/>
      <c r="M40" s="393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6"/>
    </row>
    <row r="41" spans="2:26" ht="22.5" customHeight="1">
      <c r="B41" s="114"/>
      <c r="C41" s="174" t="s">
        <v>717</v>
      </c>
      <c r="D41" s="255"/>
      <c r="E41" s="524"/>
      <c r="F41" s="523"/>
      <c r="G41" s="523"/>
      <c r="H41" s="523"/>
      <c r="I41" s="523"/>
      <c r="J41" s="533">
        <f t="shared" si="0"/>
        <v>0</v>
      </c>
      <c r="K41" s="103"/>
      <c r="M41" s="393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6"/>
    </row>
    <row r="42" spans="2:26" ht="22.5" customHeight="1">
      <c r="B42" s="114"/>
      <c r="C42" s="174" t="s">
        <v>718</v>
      </c>
      <c r="D42" s="255"/>
      <c r="E42" s="524">
        <v>115</v>
      </c>
      <c r="F42" s="523">
        <f>2038193.45+83956.03</f>
        <v>2122149.48</v>
      </c>
      <c r="G42" s="523"/>
      <c r="H42" s="523"/>
      <c r="I42" s="523">
        <v>684492.87</v>
      </c>
      <c r="J42" s="533">
        <f t="shared" si="0"/>
        <v>2806642.35</v>
      </c>
      <c r="K42" s="103"/>
      <c r="M42" s="393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6"/>
    </row>
    <row r="43" spans="2:26" ht="22.5" customHeight="1">
      <c r="B43" s="114"/>
      <c r="C43" s="174" t="s">
        <v>719</v>
      </c>
      <c r="D43" s="255"/>
      <c r="E43" s="524">
        <v>94</v>
      </c>
      <c r="F43" s="523">
        <f>1489786.84+15784.11</f>
        <v>1505570.9500000002</v>
      </c>
      <c r="G43" s="523"/>
      <c r="H43" s="523"/>
      <c r="I43" s="523">
        <v>354405.15</v>
      </c>
      <c r="J43" s="533">
        <f t="shared" si="0"/>
        <v>1859976.1</v>
      </c>
      <c r="K43" s="103"/>
      <c r="M43" s="393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6"/>
    </row>
    <row r="44" spans="2:26" ht="22.5" customHeight="1">
      <c r="B44" s="114"/>
      <c r="C44" s="152" t="s">
        <v>720</v>
      </c>
      <c r="D44" s="256"/>
      <c r="E44" s="527"/>
      <c r="F44" s="526"/>
      <c r="G44" s="526"/>
      <c r="H44" s="526"/>
      <c r="I44" s="526"/>
      <c r="J44" s="533">
        <f t="shared" si="0"/>
        <v>0</v>
      </c>
      <c r="K44" s="103"/>
      <c r="M44" s="393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6"/>
    </row>
    <row r="45" spans="2:26" ht="22.5" customHeight="1" thickBot="1">
      <c r="B45" s="114"/>
      <c r="C45" s="1425" t="s">
        <v>734</v>
      </c>
      <c r="D45" s="1426"/>
      <c r="E45" s="261">
        <f aca="true" t="shared" si="1" ref="E45:J45">SUM(E39:E44)</f>
        <v>211</v>
      </c>
      <c r="F45" s="261">
        <f t="shared" si="1"/>
        <v>3755943.0700000003</v>
      </c>
      <c r="G45" s="261">
        <f t="shared" si="1"/>
        <v>0</v>
      </c>
      <c r="H45" s="261">
        <f t="shared" si="1"/>
        <v>0</v>
      </c>
      <c r="I45" s="261">
        <f t="shared" si="1"/>
        <v>1060268.46</v>
      </c>
      <c r="J45" s="261">
        <f t="shared" si="1"/>
        <v>4816211.53</v>
      </c>
      <c r="K45" s="103"/>
      <c r="M45" s="393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6"/>
    </row>
    <row r="46" spans="2:26" ht="22.5" customHeight="1">
      <c r="B46" s="114"/>
      <c r="C46" s="31"/>
      <c r="D46" s="206"/>
      <c r="E46" s="206"/>
      <c r="F46" s="207"/>
      <c r="G46" s="207"/>
      <c r="H46" s="207"/>
      <c r="I46" s="207"/>
      <c r="J46" s="93"/>
      <c r="K46" s="103"/>
      <c r="M46" s="393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6"/>
    </row>
    <row r="47" spans="2:26" ht="22.5" customHeight="1">
      <c r="B47" s="114"/>
      <c r="C47" s="31"/>
      <c r="D47" s="206"/>
      <c r="E47" s="206"/>
      <c r="F47" s="207"/>
      <c r="G47" s="207"/>
      <c r="H47" s="207"/>
      <c r="I47" s="207"/>
      <c r="J47" s="93"/>
      <c r="K47" s="103"/>
      <c r="M47" s="393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6"/>
    </row>
    <row r="48" spans="2:26" ht="22.5" customHeight="1">
      <c r="B48" s="114"/>
      <c r="C48" s="63" t="s">
        <v>733</v>
      </c>
      <c r="D48" s="206"/>
      <c r="E48" s="206"/>
      <c r="F48" s="207"/>
      <c r="G48" s="207"/>
      <c r="H48" s="207"/>
      <c r="I48" s="207"/>
      <c r="J48" s="93"/>
      <c r="K48" s="103"/>
      <c r="M48" s="393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6"/>
    </row>
    <row r="49" spans="2:26" ht="22.5" customHeight="1">
      <c r="B49" s="114"/>
      <c r="C49" s="63"/>
      <c r="D49" s="206"/>
      <c r="E49" s="206"/>
      <c r="F49" s="207"/>
      <c r="G49" s="207"/>
      <c r="H49" s="207"/>
      <c r="I49" s="207"/>
      <c r="J49" s="93"/>
      <c r="K49" s="103"/>
      <c r="M49" s="393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6"/>
    </row>
    <row r="50" spans="2:26" ht="22.5" customHeight="1">
      <c r="B50" s="114"/>
      <c r="C50" s="1360" t="s">
        <v>672</v>
      </c>
      <c r="D50" s="1361"/>
      <c r="E50" s="1427"/>
      <c r="F50" s="258" t="s">
        <v>699</v>
      </c>
      <c r="G50" s="207"/>
      <c r="H50" s="207"/>
      <c r="I50" s="207"/>
      <c r="J50" s="93"/>
      <c r="K50" s="103"/>
      <c r="M50" s="393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6"/>
    </row>
    <row r="51" spans="2:26" s="181" customFormat="1" ht="22.5" customHeight="1">
      <c r="B51" s="179"/>
      <c r="C51" s="260" t="s">
        <v>735</v>
      </c>
      <c r="D51" s="259"/>
      <c r="E51" s="259"/>
      <c r="F51" s="534">
        <v>296612.25</v>
      </c>
      <c r="G51" s="207"/>
      <c r="H51" s="207"/>
      <c r="I51" s="207"/>
      <c r="J51" s="143"/>
      <c r="K51" s="180"/>
      <c r="M51" s="393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6"/>
    </row>
    <row r="52" spans="2:26" s="181" customFormat="1" ht="22.5" customHeight="1">
      <c r="B52" s="179"/>
      <c r="C52" s="260" t="s">
        <v>736</v>
      </c>
      <c r="D52" s="259"/>
      <c r="E52" s="259"/>
      <c r="F52" s="534">
        <v>1468555.94</v>
      </c>
      <c r="G52" s="207"/>
      <c r="H52" s="207"/>
      <c r="I52" s="207"/>
      <c r="J52" s="143"/>
      <c r="K52" s="180"/>
      <c r="M52" s="393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6"/>
    </row>
    <row r="53" spans="2:26" ht="22.5" customHeight="1" thickBot="1">
      <c r="B53" s="114"/>
      <c r="C53" s="1425" t="s">
        <v>734</v>
      </c>
      <c r="D53" s="1428"/>
      <c r="E53" s="262"/>
      <c r="F53" s="261">
        <f>SUM(F51:F52)</f>
        <v>1765168.19</v>
      </c>
      <c r="G53" s="207"/>
      <c r="H53" s="207"/>
      <c r="I53" s="207"/>
      <c r="J53" s="143"/>
      <c r="K53" s="103"/>
      <c r="M53" s="393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6"/>
    </row>
    <row r="54" spans="2:26" ht="22.5" customHeight="1">
      <c r="B54" s="114"/>
      <c r="C54" s="31"/>
      <c r="D54" s="206"/>
      <c r="E54" s="206"/>
      <c r="F54" s="207"/>
      <c r="G54" s="207"/>
      <c r="H54" s="207"/>
      <c r="I54" s="207"/>
      <c r="J54" s="143"/>
      <c r="K54" s="103"/>
      <c r="M54" s="393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6"/>
    </row>
    <row r="55" spans="2:26" ht="22.5" customHeight="1">
      <c r="B55" s="114"/>
      <c r="C55" s="31"/>
      <c r="D55" s="206"/>
      <c r="E55" s="206"/>
      <c r="F55" s="207"/>
      <c r="G55" s="207"/>
      <c r="H55" s="207"/>
      <c r="I55" s="207"/>
      <c r="J55" s="143"/>
      <c r="K55" s="103"/>
      <c r="M55" s="393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6"/>
    </row>
    <row r="56" spans="2:26" ht="22.5" customHeight="1">
      <c r="B56" s="114"/>
      <c r="C56" s="63" t="s">
        <v>737</v>
      </c>
      <c r="D56" s="206"/>
      <c r="E56" s="206"/>
      <c r="F56" s="207"/>
      <c r="G56" s="207"/>
      <c r="H56" s="207"/>
      <c r="I56" s="207"/>
      <c r="J56" s="93"/>
      <c r="K56" s="103"/>
      <c r="M56" s="393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6"/>
    </row>
    <row r="57" spans="2:26" ht="22.5" customHeight="1">
      <c r="B57" s="114"/>
      <c r="C57" s="535"/>
      <c r="D57" s="536"/>
      <c r="E57" s="536"/>
      <c r="F57" s="536"/>
      <c r="G57" s="536"/>
      <c r="H57" s="536"/>
      <c r="I57" s="536"/>
      <c r="J57" s="537"/>
      <c r="K57" s="103"/>
      <c r="M57" s="393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6"/>
    </row>
    <row r="58" spans="2:26" ht="22.5" customHeight="1">
      <c r="B58" s="114"/>
      <c r="C58" s="538"/>
      <c r="D58" s="539"/>
      <c r="E58" s="539"/>
      <c r="F58" s="539"/>
      <c r="G58" s="539"/>
      <c r="H58" s="539"/>
      <c r="I58" s="539"/>
      <c r="J58" s="540"/>
      <c r="K58" s="103"/>
      <c r="M58" s="393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6"/>
    </row>
    <row r="59" spans="2:26" ht="22.5" customHeight="1">
      <c r="B59" s="114"/>
      <c r="C59" s="538"/>
      <c r="D59" s="539"/>
      <c r="E59" s="539"/>
      <c r="F59" s="539"/>
      <c r="G59" s="539"/>
      <c r="H59" s="539"/>
      <c r="I59" s="539"/>
      <c r="J59" s="540"/>
      <c r="K59" s="103"/>
      <c r="M59" s="393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6"/>
    </row>
    <row r="60" spans="2:26" ht="22.5" customHeight="1">
      <c r="B60" s="114"/>
      <c r="C60" s="541"/>
      <c r="D60" s="542"/>
      <c r="E60" s="542"/>
      <c r="F60" s="542"/>
      <c r="G60" s="542"/>
      <c r="H60" s="542"/>
      <c r="I60" s="542"/>
      <c r="J60" s="543"/>
      <c r="K60" s="103"/>
      <c r="M60" s="393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6"/>
    </row>
    <row r="61" spans="2:26" ht="22.5" customHeight="1">
      <c r="B61" s="114"/>
      <c r="C61" s="838"/>
      <c r="D61" s="838"/>
      <c r="E61" s="838"/>
      <c r="F61" s="838"/>
      <c r="G61" s="838"/>
      <c r="H61" s="838"/>
      <c r="I61" s="838"/>
      <c r="J61" s="838"/>
      <c r="K61" s="103"/>
      <c r="M61" s="393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6"/>
    </row>
    <row r="62" spans="2:26" ht="22.5" customHeight="1">
      <c r="B62" s="114"/>
      <c r="C62" s="839" t="s">
        <v>1129</v>
      </c>
      <c r="D62" s="838"/>
      <c r="E62" s="838"/>
      <c r="F62" s="838"/>
      <c r="G62" s="838"/>
      <c r="H62" s="838"/>
      <c r="I62" s="838"/>
      <c r="J62" s="838"/>
      <c r="K62" s="103"/>
      <c r="M62" s="393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6"/>
    </row>
    <row r="63" spans="2:26" ht="22.5" customHeight="1">
      <c r="B63" s="114"/>
      <c r="C63" s="840" t="s">
        <v>1160</v>
      </c>
      <c r="D63" s="838"/>
      <c r="E63" s="838"/>
      <c r="F63" s="838"/>
      <c r="G63" s="838"/>
      <c r="H63" s="838"/>
      <c r="I63" s="838"/>
      <c r="J63" s="838"/>
      <c r="K63" s="103"/>
      <c r="M63" s="393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6"/>
    </row>
    <row r="64" spans="2:26" ht="22.5" customHeight="1">
      <c r="B64" s="114"/>
      <c r="C64" s="838"/>
      <c r="D64" s="838"/>
      <c r="E64" s="838"/>
      <c r="F64" s="838"/>
      <c r="G64" s="838"/>
      <c r="H64" s="838"/>
      <c r="I64" s="838"/>
      <c r="J64" s="838"/>
      <c r="K64" s="103"/>
      <c r="M64" s="393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6"/>
    </row>
    <row r="65" spans="2:26" ht="22.5" customHeight="1" thickBot="1">
      <c r="B65" s="118"/>
      <c r="C65" s="52"/>
      <c r="D65" s="1299"/>
      <c r="E65" s="1299"/>
      <c r="F65" s="52"/>
      <c r="G65" s="52"/>
      <c r="H65" s="52"/>
      <c r="I65" s="52"/>
      <c r="J65" s="119"/>
      <c r="K65" s="120"/>
      <c r="M65" s="387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9"/>
    </row>
    <row r="66" spans="4:12" ht="22.5" customHeight="1">
      <c r="D66" s="101"/>
      <c r="E66" s="101"/>
      <c r="F66" s="102"/>
      <c r="G66" s="102"/>
      <c r="H66" s="102"/>
      <c r="I66" s="102"/>
      <c r="J66" s="102"/>
      <c r="L66" s="94" t="s">
        <v>83</v>
      </c>
    </row>
    <row r="67" spans="4:10" ht="12.75">
      <c r="D67" s="121" t="s">
        <v>286</v>
      </c>
      <c r="E67" s="101"/>
      <c r="F67" s="102"/>
      <c r="G67" s="102"/>
      <c r="H67" s="102"/>
      <c r="I67" s="102"/>
      <c r="J67" s="92" t="s">
        <v>276</v>
      </c>
    </row>
    <row r="68" spans="4:10" ht="12.75">
      <c r="D68" s="122" t="s">
        <v>287</v>
      </c>
      <c r="E68" s="101"/>
      <c r="F68" s="102"/>
      <c r="G68" s="102"/>
      <c r="H68" s="102"/>
      <c r="I68" s="102"/>
      <c r="J68" s="102"/>
    </row>
    <row r="69" spans="4:10" ht="12.75">
      <c r="D69" s="122" t="s">
        <v>288</v>
      </c>
      <c r="E69" s="101"/>
      <c r="F69" s="102"/>
      <c r="G69" s="102"/>
      <c r="H69" s="102"/>
      <c r="I69" s="102"/>
      <c r="J69" s="102"/>
    </row>
    <row r="70" spans="4:10" ht="12.75">
      <c r="D70" s="122" t="s">
        <v>289</v>
      </c>
      <c r="E70" s="101"/>
      <c r="F70" s="102"/>
      <c r="G70" s="102"/>
      <c r="H70" s="102"/>
      <c r="I70" s="102"/>
      <c r="J70" s="102"/>
    </row>
    <row r="71" spans="4:10" ht="12.75">
      <c r="D71" s="122" t="s">
        <v>290</v>
      </c>
      <c r="E71" s="101"/>
      <c r="F71" s="102"/>
      <c r="G71" s="102"/>
      <c r="H71" s="102"/>
      <c r="I71" s="102"/>
      <c r="J71" s="102"/>
    </row>
    <row r="72" spans="4:10" ht="22.5" customHeight="1">
      <c r="D72" s="101"/>
      <c r="E72" s="101"/>
      <c r="F72" s="102"/>
      <c r="G72" s="102"/>
      <c r="H72" s="102"/>
      <c r="I72" s="102"/>
      <c r="J72" s="102"/>
    </row>
    <row r="73" spans="4:10" ht="22.5" customHeight="1">
      <c r="D73" s="101"/>
      <c r="E73" s="101"/>
      <c r="F73" s="102"/>
      <c r="G73" s="102"/>
      <c r="H73" s="102"/>
      <c r="I73" s="102"/>
      <c r="J73" s="102"/>
    </row>
    <row r="74" spans="4:10" ht="22.5" customHeight="1">
      <c r="D74" s="101"/>
      <c r="E74" s="101"/>
      <c r="F74" s="102"/>
      <c r="G74" s="102"/>
      <c r="H74" s="102"/>
      <c r="I74" s="102"/>
      <c r="J74" s="102"/>
    </row>
    <row r="75" spans="4:10" ht="22.5" customHeight="1">
      <c r="D75" s="101"/>
      <c r="E75" s="101"/>
      <c r="F75" s="102"/>
      <c r="G75" s="102"/>
      <c r="H75" s="102"/>
      <c r="I75" s="102"/>
      <c r="J75" s="102"/>
    </row>
    <row r="76" spans="6:10" ht="22.5" customHeight="1">
      <c r="F76" s="102"/>
      <c r="G76" s="102"/>
      <c r="H76" s="102"/>
      <c r="I76" s="102"/>
      <c r="J76" s="102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="60" zoomScaleNormal="60" zoomScalePageLayoutView="0" workbookViewId="0" topLeftCell="A1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66.3359375" style="94" customWidth="1"/>
    <col min="5" max="5" width="14.3359375" style="95" customWidth="1"/>
    <col min="6" max="6" width="2.6640625" style="95" customWidth="1"/>
    <col min="7" max="7" width="79.3359375" style="95" customWidth="1"/>
    <col min="8" max="8" width="14.3359375" style="95" customWidth="1"/>
    <col min="9" max="9" width="3.3359375" style="94" customWidth="1"/>
    <col min="10" max="16384" width="10.6640625" style="94" customWidth="1"/>
  </cols>
  <sheetData>
    <row r="2" ht="22.5" customHeight="1">
      <c r="D2" s="1168" t="s">
        <v>149</v>
      </c>
    </row>
    <row r="3" ht="22.5" customHeight="1">
      <c r="D3" s="1168" t="s">
        <v>247</v>
      </c>
    </row>
    <row r="4" ht="22.5" customHeight="1" thickBot="1">
      <c r="A4" s="94" t="s">
        <v>82</v>
      </c>
    </row>
    <row r="5" spans="2:24" ht="9" customHeight="1">
      <c r="B5" s="96"/>
      <c r="C5" s="97"/>
      <c r="D5" s="97"/>
      <c r="E5" s="98"/>
      <c r="F5" s="98"/>
      <c r="G5" s="98"/>
      <c r="H5" s="98"/>
      <c r="I5" s="99"/>
      <c r="K5" s="390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2"/>
    </row>
    <row r="6" spans="2:24" ht="30" customHeight="1">
      <c r="B6" s="100"/>
      <c r="C6" s="64" t="s">
        <v>216</v>
      </c>
      <c r="D6" s="101"/>
      <c r="E6" s="102"/>
      <c r="F6" s="102"/>
      <c r="G6" s="102"/>
      <c r="H6" s="1285">
        <f>ejercicio</f>
        <v>2020</v>
      </c>
      <c r="I6" s="103"/>
      <c r="K6" s="393"/>
      <c r="L6" s="394" t="s">
        <v>906</v>
      </c>
      <c r="M6" s="394"/>
      <c r="N6" s="394"/>
      <c r="O6" s="394"/>
      <c r="P6" s="395"/>
      <c r="Q6" s="395"/>
      <c r="R6" s="395"/>
      <c r="S6" s="395"/>
      <c r="T6" s="395"/>
      <c r="U6" s="395"/>
      <c r="V6" s="395"/>
      <c r="W6" s="395"/>
      <c r="X6" s="396"/>
    </row>
    <row r="7" spans="2:24" ht="30" customHeight="1">
      <c r="B7" s="100"/>
      <c r="C7" s="64" t="s">
        <v>217</v>
      </c>
      <c r="D7" s="101"/>
      <c r="E7" s="102"/>
      <c r="F7" s="102"/>
      <c r="G7" s="102"/>
      <c r="H7" s="1285"/>
      <c r="I7" s="103"/>
      <c r="K7" s="393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</row>
    <row r="8" spans="2:24" ht="30" customHeight="1">
      <c r="B8" s="100"/>
      <c r="C8" s="104"/>
      <c r="D8" s="101"/>
      <c r="E8" s="102"/>
      <c r="F8" s="102"/>
      <c r="G8" s="102"/>
      <c r="H8" s="105"/>
      <c r="I8" s="103"/>
      <c r="K8" s="393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</row>
    <row r="9" spans="2:24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300"/>
      <c r="I9" s="180"/>
      <c r="K9" s="393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</row>
    <row r="10" spans="2:24" ht="6.75" customHeight="1">
      <c r="B10" s="100"/>
      <c r="C10" s="101"/>
      <c r="D10" s="101"/>
      <c r="E10" s="102"/>
      <c r="F10" s="102"/>
      <c r="G10" s="102"/>
      <c r="H10" s="102"/>
      <c r="I10" s="103"/>
      <c r="K10" s="393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6"/>
    </row>
    <row r="11" spans="2:24" s="112" customFormat="1" ht="30" customHeight="1">
      <c r="B11" s="108"/>
      <c r="C11" s="109" t="s">
        <v>741</v>
      </c>
      <c r="D11" s="109"/>
      <c r="E11" s="110"/>
      <c r="F11" s="110"/>
      <c r="G11" s="110"/>
      <c r="H11" s="110"/>
      <c r="I11" s="111"/>
      <c r="K11" s="393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6"/>
    </row>
    <row r="12" spans="2:24" s="112" customFormat="1" ht="30" customHeight="1">
      <c r="B12" s="108"/>
      <c r="C12" s="1369"/>
      <c r="D12" s="1369"/>
      <c r="E12" s="93"/>
      <c r="F12" s="93"/>
      <c r="G12" s="93"/>
      <c r="H12" s="93"/>
      <c r="I12" s="111"/>
      <c r="K12" s="393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6"/>
    </row>
    <row r="13" spans="2:24" ht="28.5" customHeight="1">
      <c r="B13" s="114"/>
      <c r="C13" s="1429" t="s">
        <v>742</v>
      </c>
      <c r="D13" s="1430"/>
      <c r="E13" s="1430"/>
      <c r="F13" s="1430"/>
      <c r="G13" s="1430"/>
      <c r="H13" s="1431"/>
      <c r="I13" s="103"/>
      <c r="K13" s="393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6"/>
    </row>
    <row r="14" spans="2:24" ht="9" customHeight="1">
      <c r="B14" s="114"/>
      <c r="C14" s="147"/>
      <c r="D14" s="147"/>
      <c r="E14" s="93"/>
      <c r="F14" s="93"/>
      <c r="G14" s="93"/>
      <c r="H14" s="93"/>
      <c r="I14" s="103"/>
      <c r="K14" s="393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6"/>
    </row>
    <row r="15" spans="2:24" s="242" customFormat="1" ht="22.5" customHeight="1">
      <c r="B15" s="239"/>
      <c r="C15" s="1360" t="s">
        <v>745</v>
      </c>
      <c r="D15" s="1361"/>
      <c r="E15" s="1362"/>
      <c r="F15" s="143"/>
      <c r="G15" s="1360" t="s">
        <v>746</v>
      </c>
      <c r="H15" s="1362"/>
      <c r="I15" s="241"/>
      <c r="K15" s="393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6"/>
    </row>
    <row r="16" spans="2:24" s="242" customFormat="1" ht="24" customHeight="1">
      <c r="B16" s="239"/>
      <c r="C16" s="1360" t="s">
        <v>663</v>
      </c>
      <c r="D16" s="1362"/>
      <c r="E16" s="258" t="s">
        <v>699</v>
      </c>
      <c r="F16" s="143"/>
      <c r="G16" s="258" t="s">
        <v>663</v>
      </c>
      <c r="H16" s="243" t="s">
        <v>699</v>
      </c>
      <c r="I16" s="241"/>
      <c r="K16" s="393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6"/>
    </row>
    <row r="17" spans="2:24" s="117" customFormat="1" ht="22.5" customHeight="1">
      <c r="B17" s="114"/>
      <c r="C17" s="271" t="s">
        <v>747</v>
      </c>
      <c r="D17" s="272"/>
      <c r="E17" s="477">
        <f>+'FC-3_1_INF_ADIC_CPyG'!K16+'FC-3_1_INF_ADIC_CPyG'!L16</f>
        <v>936784.6074</v>
      </c>
      <c r="F17" s="274"/>
      <c r="G17" s="273" t="str">
        <f>C17</f>
        <v>CABILDO INSULAR DE TENERIFE</v>
      </c>
      <c r="H17" s="477">
        <v>593702.9633177855</v>
      </c>
      <c r="I17" s="115"/>
      <c r="K17" s="393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2:24" s="117" customFormat="1" ht="22.5" customHeight="1">
      <c r="B18" s="114"/>
      <c r="C18" s="275" t="s">
        <v>748</v>
      </c>
      <c r="D18" s="276"/>
      <c r="E18" s="477"/>
      <c r="F18" s="274"/>
      <c r="G18" s="273" t="str">
        <f aca="true" t="shared" si="0" ref="G18:G55">C18</f>
        <v>O.A. DE MUSEOS Y CENTROS</v>
      </c>
      <c r="H18" s="477"/>
      <c r="I18" s="115"/>
      <c r="K18" s="393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6"/>
    </row>
    <row r="19" spans="2:24" s="117" customFormat="1" ht="22.5" customHeight="1">
      <c r="B19" s="114"/>
      <c r="C19" s="275" t="s">
        <v>749</v>
      </c>
      <c r="D19" s="276"/>
      <c r="E19" s="477"/>
      <c r="F19" s="274"/>
      <c r="G19" s="273" t="str">
        <f t="shared" si="0"/>
        <v>O.A. INST. INS. ATENCIÓN SOC. Y SOCIOSAN.</v>
      </c>
      <c r="H19" s="477"/>
      <c r="I19" s="115"/>
      <c r="K19" s="393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6"/>
    </row>
    <row r="20" spans="2:24" s="117" customFormat="1" ht="22.5" customHeight="1">
      <c r="B20" s="114"/>
      <c r="C20" s="275" t="s">
        <v>750</v>
      </c>
      <c r="D20" s="276"/>
      <c r="E20" s="477"/>
      <c r="F20" s="274"/>
      <c r="G20" s="273" t="str">
        <f t="shared" si="0"/>
        <v>O.A. PATRONATO INSULAR DE MUSICA</v>
      </c>
      <c r="H20" s="477"/>
      <c r="I20" s="115"/>
      <c r="K20" s="393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6"/>
    </row>
    <row r="21" spans="2:24" s="117" customFormat="1" ht="22.5" customHeight="1">
      <c r="B21" s="114"/>
      <c r="C21" s="275" t="s">
        <v>751</v>
      </c>
      <c r="D21" s="276"/>
      <c r="E21" s="477"/>
      <c r="F21" s="274"/>
      <c r="G21" s="273" t="str">
        <f t="shared" si="0"/>
        <v>O.A. CONSEJO INSULAR DE AGUAS</v>
      </c>
      <c r="H21" s="477"/>
      <c r="I21" s="115"/>
      <c r="K21" s="393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2:24" s="117" customFormat="1" ht="22.5" customHeight="1">
      <c r="B22" s="114"/>
      <c r="C22" s="275" t="s">
        <v>752</v>
      </c>
      <c r="D22" s="276"/>
      <c r="E22" s="477">
        <v>4612.94</v>
      </c>
      <c r="F22" s="274"/>
      <c r="G22" s="273" t="str">
        <f t="shared" si="0"/>
        <v>EPEL. BALSAS DE TENERIFE</v>
      </c>
      <c r="H22" s="477"/>
      <c r="I22" s="115"/>
      <c r="K22" s="393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6"/>
    </row>
    <row r="23" spans="2:24" s="117" customFormat="1" ht="22.5" customHeight="1">
      <c r="B23" s="114"/>
      <c r="C23" s="275" t="s">
        <v>1123</v>
      </c>
      <c r="D23" s="276"/>
      <c r="E23" s="477"/>
      <c r="F23" s="274"/>
      <c r="G23" s="273" t="str">
        <f t="shared" si="0"/>
        <v>EPEL TEA, TENERFE ESPACIO DE LAS ARTES</v>
      </c>
      <c r="H23" s="477"/>
      <c r="I23" s="115"/>
      <c r="K23" s="393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6"/>
    </row>
    <row r="24" spans="2:24" s="117" customFormat="1" ht="22.5" customHeight="1">
      <c r="B24" s="114"/>
      <c r="C24" s="275" t="s">
        <v>753</v>
      </c>
      <c r="D24" s="276"/>
      <c r="E24" s="477"/>
      <c r="F24" s="274"/>
      <c r="G24" s="273" t="str">
        <f t="shared" si="0"/>
        <v>EPEL AGROTEIDE ENTIDAD INSULAR DESARROLLO AGRICOLA Y GANADERO</v>
      </c>
      <c r="H24" s="477"/>
      <c r="I24" s="115"/>
      <c r="K24" s="393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6"/>
    </row>
    <row r="25" spans="2:24" s="117" customFormat="1" ht="22.5" customHeight="1">
      <c r="B25" s="114"/>
      <c r="C25" s="275" t="s">
        <v>754</v>
      </c>
      <c r="D25" s="276"/>
      <c r="E25" s="477"/>
      <c r="F25" s="274"/>
      <c r="G25" s="273" t="str">
        <f t="shared" si="0"/>
        <v>CASINO DE TAORO, SA</v>
      </c>
      <c r="H25" s="477"/>
      <c r="I25" s="115"/>
      <c r="K25" s="393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2:24" s="117" customFormat="1" ht="22.5" customHeight="1">
      <c r="B26" s="114"/>
      <c r="C26" s="275" t="s">
        <v>755</v>
      </c>
      <c r="D26" s="276"/>
      <c r="E26" s="477"/>
      <c r="F26" s="274"/>
      <c r="G26" s="273" t="str">
        <f t="shared" si="0"/>
        <v>CASINO DE PLAYA DE LAS AMÉRICAS, SA</v>
      </c>
      <c r="H26" s="477"/>
      <c r="I26" s="115"/>
      <c r="K26" s="393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6"/>
    </row>
    <row r="27" spans="2:24" s="117" customFormat="1" ht="22.5" customHeight="1">
      <c r="B27" s="114"/>
      <c r="C27" s="275" t="s">
        <v>756</v>
      </c>
      <c r="D27" s="276"/>
      <c r="E27" s="477"/>
      <c r="F27" s="274"/>
      <c r="G27" s="273" t="str">
        <f t="shared" si="0"/>
        <v>CASINO DE SANTA CRUZ, SA</v>
      </c>
      <c r="H27" s="477"/>
      <c r="I27" s="115"/>
      <c r="K27" s="393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6"/>
    </row>
    <row r="28" spans="2:24" s="117" customFormat="1" ht="22.5" customHeight="1">
      <c r="B28" s="114"/>
      <c r="C28" s="275" t="s">
        <v>757</v>
      </c>
      <c r="D28" s="276"/>
      <c r="E28" s="477"/>
      <c r="F28" s="274"/>
      <c r="G28" s="273" t="str">
        <f t="shared" si="0"/>
        <v>INSTIT.FERIAL DE TENERIFE, SA</v>
      </c>
      <c r="H28" s="477"/>
      <c r="I28" s="115"/>
      <c r="K28" s="393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6"/>
    </row>
    <row r="29" spans="2:24" s="117" customFormat="1" ht="22.5" customHeight="1">
      <c r="B29" s="114"/>
      <c r="C29" s="275" t="s">
        <v>758</v>
      </c>
      <c r="D29" s="276"/>
      <c r="E29" s="477"/>
      <c r="F29" s="274"/>
      <c r="G29" s="273" t="str">
        <f t="shared" si="0"/>
        <v>EMPRESA INSULAR DE ARTESANÍA, SA</v>
      </c>
      <c r="H29" s="477"/>
      <c r="I29" s="115"/>
      <c r="K29" s="393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2:24" s="117" customFormat="1" ht="22.5" customHeight="1">
      <c r="B30" s="114"/>
      <c r="C30" s="275" t="s">
        <v>759</v>
      </c>
      <c r="D30" s="276"/>
      <c r="E30" s="477"/>
      <c r="F30" s="274"/>
      <c r="G30" s="273" t="str">
        <f t="shared" si="0"/>
        <v>SINPROMI.S.L.</v>
      </c>
      <c r="H30" s="477"/>
      <c r="I30" s="115"/>
      <c r="K30" s="393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6"/>
    </row>
    <row r="31" spans="2:24" s="117" customFormat="1" ht="22.5" customHeight="1">
      <c r="B31" s="114"/>
      <c r="C31" s="275" t="s">
        <v>760</v>
      </c>
      <c r="D31" s="276"/>
      <c r="E31" s="477"/>
      <c r="F31" s="274"/>
      <c r="G31" s="273" t="str">
        <f t="shared" si="0"/>
        <v>AUDITORIO DE TENERIFE, SA</v>
      </c>
      <c r="H31" s="477"/>
      <c r="I31" s="115"/>
      <c r="K31" s="393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6"/>
    </row>
    <row r="32" spans="2:24" s="117" customFormat="1" ht="22.5" customHeight="1">
      <c r="B32" s="114"/>
      <c r="C32" s="275" t="s">
        <v>761</v>
      </c>
      <c r="D32" s="276"/>
      <c r="E32" s="477"/>
      <c r="F32" s="274"/>
      <c r="G32" s="273" t="str">
        <f t="shared" si="0"/>
        <v>GEST. INS. DEPORTE, CULT.Y OCIO, SA (IDECO)</v>
      </c>
      <c r="H32" s="477"/>
      <c r="I32" s="115"/>
      <c r="K32" s="393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6"/>
    </row>
    <row r="33" spans="2:24" s="117" customFormat="1" ht="22.5" customHeight="1">
      <c r="B33" s="114"/>
      <c r="C33" s="275" t="s">
        <v>762</v>
      </c>
      <c r="D33" s="276"/>
      <c r="E33" s="477"/>
      <c r="F33" s="274"/>
      <c r="G33" s="273" t="str">
        <f t="shared" si="0"/>
        <v>TITSA</v>
      </c>
      <c r="H33" s="477"/>
      <c r="I33" s="115"/>
      <c r="K33" s="393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2:24" s="117" customFormat="1" ht="22.5" customHeight="1">
      <c r="B34" s="114"/>
      <c r="C34" s="275" t="s">
        <v>763</v>
      </c>
      <c r="D34" s="276"/>
      <c r="E34" s="477"/>
      <c r="F34" s="274"/>
      <c r="G34" s="273" t="str">
        <f t="shared" si="0"/>
        <v>SPET, TURISMO DE TENERIFE, S.A.</v>
      </c>
      <c r="H34" s="477"/>
      <c r="I34" s="115"/>
      <c r="K34" s="393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6"/>
    </row>
    <row r="35" spans="2:24" s="117" customFormat="1" ht="22.5" customHeight="1">
      <c r="B35" s="114"/>
      <c r="C35" s="275" t="s">
        <v>764</v>
      </c>
      <c r="D35" s="276"/>
      <c r="E35" s="477"/>
      <c r="F35" s="274"/>
      <c r="G35" s="273" t="str">
        <f t="shared" si="0"/>
        <v>INSTITUTO MEDICO TINERFEÑO, S.A. (IMETISA)</v>
      </c>
      <c r="H35" s="477"/>
      <c r="I35" s="115"/>
      <c r="K35" s="393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6"/>
    </row>
    <row r="36" spans="2:24" s="117" customFormat="1" ht="22.5" customHeight="1">
      <c r="B36" s="114"/>
      <c r="C36" s="275" t="s">
        <v>765</v>
      </c>
      <c r="D36" s="276"/>
      <c r="E36" s="477">
        <f>+'FC-3_1_INF_ADIC_CPyG'!K26+'FC-3_1_INF_ADIC_CPyG'!L26</f>
        <v>15975</v>
      </c>
      <c r="F36" s="274"/>
      <c r="G36" s="273" t="str">
        <f t="shared" si="0"/>
        <v>METROPOLITANO DE TENERIFE, S.A.</v>
      </c>
      <c r="H36" s="477"/>
      <c r="I36" s="115"/>
      <c r="K36" s="393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6"/>
    </row>
    <row r="37" spans="2:24" s="117" customFormat="1" ht="22.5" customHeight="1">
      <c r="B37" s="114"/>
      <c r="C37" s="275" t="s">
        <v>766</v>
      </c>
      <c r="D37" s="276"/>
      <c r="E37" s="477"/>
      <c r="F37" s="274"/>
      <c r="G37" s="273" t="str">
        <f t="shared" si="0"/>
        <v>INST. TECNOL. Y DE ENERGIAS RENOVABLES, S.A. (ITER)</v>
      </c>
      <c r="H37" s="477"/>
      <c r="I37" s="115"/>
      <c r="K37" s="393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2:24" s="117" customFormat="1" ht="22.5" customHeight="1">
      <c r="B38" s="114"/>
      <c r="C38" s="275" t="s">
        <v>767</v>
      </c>
      <c r="D38" s="276"/>
      <c r="E38" s="477"/>
      <c r="F38" s="274"/>
      <c r="G38" s="273" t="str">
        <f t="shared" si="0"/>
        <v>CULTIVOS Y TECNOLOGÍAS AGRARIAS DE TENERIFE, S.A (CULTESA)</v>
      </c>
      <c r="H38" s="477"/>
      <c r="I38" s="115"/>
      <c r="K38" s="393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6"/>
    </row>
    <row r="39" spans="2:24" s="117" customFormat="1" ht="22.5" customHeight="1">
      <c r="B39" s="114"/>
      <c r="C39" s="275" t="s">
        <v>768</v>
      </c>
      <c r="D39" s="276"/>
      <c r="E39" s="477"/>
      <c r="F39" s="274"/>
      <c r="G39" s="273" t="str">
        <f t="shared" si="0"/>
        <v>BUENAVISTA GOLF, S.A.</v>
      </c>
      <c r="H39" s="477"/>
      <c r="I39" s="115"/>
      <c r="K39" s="393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6"/>
    </row>
    <row r="40" spans="2:24" s="117" customFormat="1" ht="22.5" customHeight="1">
      <c r="B40" s="114"/>
      <c r="C40" s="275" t="s">
        <v>769</v>
      </c>
      <c r="D40" s="276"/>
      <c r="E40" s="477"/>
      <c r="F40" s="274"/>
      <c r="G40" s="273" t="str">
        <f t="shared" si="0"/>
        <v>PARQUE CIENTÍFICO Y TECNOLÓGICO DE TENERIFE, S.A.</v>
      </c>
      <c r="H40" s="477"/>
      <c r="I40" s="115"/>
      <c r="K40" s="393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6"/>
    </row>
    <row r="41" spans="2:24" s="117" customFormat="1" ht="22.5" customHeight="1">
      <c r="B41" s="114"/>
      <c r="C41" s="275" t="s">
        <v>770</v>
      </c>
      <c r="D41" s="276"/>
      <c r="E41" s="477"/>
      <c r="F41" s="274"/>
      <c r="G41" s="273" t="str">
        <f t="shared" si="0"/>
        <v>INSTITUTO TECNOLÓGICO Y DE COMUNICACIONES DE TENERIFE, S.L. (IT3)</v>
      </c>
      <c r="H41" s="477"/>
      <c r="I41" s="115"/>
      <c r="K41" s="393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6"/>
    </row>
    <row r="42" spans="2:24" s="117" customFormat="1" ht="22.5" customHeight="1">
      <c r="B42" s="114"/>
      <c r="C42" s="275" t="s">
        <v>771</v>
      </c>
      <c r="D42" s="276"/>
      <c r="E42" s="477">
        <f>+'FC-3_1_INF_ADIC_CPyG'!K30+'FC-3_1_INF_ADIC_CPyG'!L30</f>
        <v>39750.06</v>
      </c>
      <c r="F42" s="274"/>
      <c r="G42" s="273" t="str">
        <f t="shared" si="0"/>
        <v>INSTITUTO VULCANOLÓGICO DE CANARIAS S.A.</v>
      </c>
      <c r="H42" s="477"/>
      <c r="I42" s="115"/>
      <c r="K42" s="393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6"/>
    </row>
    <row r="43" spans="2:24" s="117" customFormat="1" ht="22.5" customHeight="1">
      <c r="B43" s="114"/>
      <c r="C43" s="275" t="s">
        <v>772</v>
      </c>
      <c r="D43" s="276"/>
      <c r="E43" s="477">
        <f>+'FC-3_1_INF_ADIC_CPyG'!K28+'FC-3_1_INF_ADIC_CPyG'!L28</f>
        <v>1270546.3206</v>
      </c>
      <c r="F43" s="274"/>
      <c r="G43" s="273" t="str">
        <f t="shared" si="0"/>
        <v>CANARIAS SUBMARINE LINK, S.L. (Canalink)</v>
      </c>
      <c r="H43" s="477"/>
      <c r="I43" s="115"/>
      <c r="K43" s="393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6"/>
    </row>
    <row r="44" spans="2:24" s="117" customFormat="1" ht="22.5" customHeight="1">
      <c r="B44" s="114"/>
      <c r="C44" s="275" t="s">
        <v>773</v>
      </c>
      <c r="D44" s="276"/>
      <c r="E44" s="477">
        <f>+'FC-3_1_INF_ADIC_CPyG'!K34+'FC-3_1_INF_ADIC_CPyG'!L34</f>
        <v>199181.66760000002</v>
      </c>
      <c r="F44" s="274"/>
      <c r="G44" s="273" t="str">
        <f t="shared" si="0"/>
        <v>CANALINK AFRICA, S.L.</v>
      </c>
      <c r="H44" s="477"/>
      <c r="I44" s="115"/>
      <c r="K44" s="393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6"/>
    </row>
    <row r="45" spans="2:24" s="117" customFormat="1" ht="22.5" customHeight="1">
      <c r="B45" s="114"/>
      <c r="C45" s="275" t="s">
        <v>774</v>
      </c>
      <c r="D45" s="276"/>
      <c r="E45" s="477"/>
      <c r="F45" s="274"/>
      <c r="G45" s="273" t="str">
        <f t="shared" si="0"/>
        <v>CANALINK BAHARICOM, S.L.</v>
      </c>
      <c r="H45" s="477"/>
      <c r="I45" s="115"/>
      <c r="K45" s="393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6"/>
    </row>
    <row r="46" spans="2:24" s="117" customFormat="1" ht="22.5" customHeight="1">
      <c r="B46" s="114"/>
      <c r="C46" s="275" t="s">
        <v>775</v>
      </c>
      <c r="D46" s="276"/>
      <c r="E46" s="477"/>
      <c r="F46" s="274"/>
      <c r="G46" s="273" t="str">
        <f t="shared" si="0"/>
        <v>GESTIÓN INSULAR DE AGUAS DE TENERIFE, S.A. (GESTA)</v>
      </c>
      <c r="H46" s="477"/>
      <c r="I46" s="115"/>
      <c r="K46" s="393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6"/>
    </row>
    <row r="47" spans="2:24" s="117" customFormat="1" ht="22.5" customHeight="1">
      <c r="B47" s="114"/>
      <c r="C47" s="275" t="s">
        <v>776</v>
      </c>
      <c r="D47" s="276"/>
      <c r="E47" s="477"/>
      <c r="F47" s="274"/>
      <c r="G47" s="273" t="str">
        <f t="shared" si="0"/>
        <v>FUNDACION TENERIFE RURAL</v>
      </c>
      <c r="H47" s="477"/>
      <c r="I47" s="115"/>
      <c r="K47" s="393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6"/>
    </row>
    <row r="48" spans="2:24" s="117" customFormat="1" ht="22.5" customHeight="1">
      <c r="B48" s="114"/>
      <c r="C48" s="275" t="s">
        <v>777</v>
      </c>
      <c r="D48" s="276"/>
      <c r="E48" s="477"/>
      <c r="F48" s="274"/>
      <c r="G48" s="273" t="str">
        <f t="shared" si="0"/>
        <v>FUNDACIÓN  ITB</v>
      </c>
      <c r="H48" s="477"/>
      <c r="I48" s="115"/>
      <c r="K48" s="393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6"/>
    </row>
    <row r="49" spans="2:24" s="117" customFormat="1" ht="22.5" customHeight="1">
      <c r="B49" s="114"/>
      <c r="C49" s="275" t="s">
        <v>778</v>
      </c>
      <c r="D49" s="276"/>
      <c r="E49" s="477"/>
      <c r="F49" s="274"/>
      <c r="G49" s="273" t="str">
        <f t="shared" si="0"/>
        <v>FIFEDE</v>
      </c>
      <c r="H49" s="477"/>
      <c r="I49" s="115"/>
      <c r="K49" s="393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6"/>
    </row>
    <row r="50" spans="2:24" s="117" customFormat="1" ht="22.5" customHeight="1">
      <c r="B50" s="114"/>
      <c r="C50" s="275" t="s">
        <v>779</v>
      </c>
      <c r="D50" s="276"/>
      <c r="E50" s="477">
        <v>12888.63</v>
      </c>
      <c r="F50" s="274"/>
      <c r="G50" s="273" t="str">
        <f t="shared" si="0"/>
        <v>AGENCIA INSULAR DE LA ENERGIA</v>
      </c>
      <c r="H50" s="477">
        <v>135858.66</v>
      </c>
      <c r="I50" s="115"/>
      <c r="K50" s="393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6"/>
    </row>
    <row r="51" spans="2:24" s="117" customFormat="1" ht="22.5" customHeight="1">
      <c r="B51" s="114"/>
      <c r="C51" s="275" t="s">
        <v>780</v>
      </c>
      <c r="D51" s="276"/>
      <c r="E51" s="477"/>
      <c r="F51" s="274"/>
      <c r="G51" s="273" t="str">
        <f t="shared" si="0"/>
        <v>FUNDACIÓN CANARIAS FACTORÍA DE LA INNOVACIÓN TURÍSTICA</v>
      </c>
      <c r="H51" s="477"/>
      <c r="I51" s="115"/>
      <c r="K51" s="393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6"/>
    </row>
    <row r="52" spans="2:24" s="117" customFormat="1" ht="22.5" customHeight="1">
      <c r="B52" s="114"/>
      <c r="C52" s="275" t="s">
        <v>781</v>
      </c>
      <c r="D52" s="276"/>
      <c r="E52" s="477"/>
      <c r="F52" s="274"/>
      <c r="G52" s="273" t="str">
        <f t="shared" si="0"/>
        <v>CONSORCIO PREVENSIÓN, EXTINCIÓN INCENDIOS Y SALVAMENTO DE LA ISLA DE TENERIFE</v>
      </c>
      <c r="H52" s="477"/>
      <c r="I52" s="115"/>
      <c r="K52" s="393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6"/>
    </row>
    <row r="53" spans="2:24" s="117" customFormat="1" ht="22.5" customHeight="1">
      <c r="B53" s="114"/>
      <c r="C53" s="275" t="s">
        <v>782</v>
      </c>
      <c r="D53" s="276"/>
      <c r="E53" s="477"/>
      <c r="F53" s="274"/>
      <c r="G53" s="273" t="str">
        <f t="shared" si="0"/>
        <v>CONSORCIO DE TRIBUTOS DE LA ISLA DE TENERIFE</v>
      </c>
      <c r="H53" s="477"/>
      <c r="I53" s="115"/>
      <c r="K53" s="393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6"/>
    </row>
    <row r="54" spans="2:24" s="117" customFormat="1" ht="22.5" customHeight="1">
      <c r="B54" s="114"/>
      <c r="C54" s="275" t="s">
        <v>783</v>
      </c>
      <c r="D54" s="276"/>
      <c r="E54" s="477"/>
      <c r="F54" s="274"/>
      <c r="G54" s="273" t="str">
        <f t="shared" si="0"/>
        <v>CONSORCIO ISLA BAJA</v>
      </c>
      <c r="H54" s="477"/>
      <c r="I54" s="115"/>
      <c r="K54" s="393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6"/>
    </row>
    <row r="55" spans="2:24" s="117" customFormat="1" ht="22.5" customHeight="1">
      <c r="B55" s="114"/>
      <c r="C55" s="277" t="s">
        <v>784</v>
      </c>
      <c r="D55" s="278"/>
      <c r="E55" s="478"/>
      <c r="F55" s="274"/>
      <c r="G55" s="273" t="str">
        <f t="shared" si="0"/>
        <v>CONSORCIO URBANÍSTICO PARA LA REHABILITACIÓN DEL PTO. DE LA CRUZ</v>
      </c>
      <c r="H55" s="478"/>
      <c r="I55" s="115"/>
      <c r="K55" s="393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6"/>
    </row>
    <row r="56" spans="2:24" s="181" customFormat="1" ht="22.5" customHeight="1" thickBot="1">
      <c r="B56" s="179"/>
      <c r="C56" s="1354" t="s">
        <v>700</v>
      </c>
      <c r="D56" s="1355"/>
      <c r="E56" s="124">
        <f>SUM(E17:E55)</f>
        <v>2479739.2255999995</v>
      </c>
      <c r="F56" s="143"/>
      <c r="G56" s="210" t="s">
        <v>700</v>
      </c>
      <c r="H56" s="124">
        <f>SUM(H17:H55)</f>
        <v>729561.6233177856</v>
      </c>
      <c r="I56" s="180"/>
      <c r="K56" s="393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6"/>
    </row>
    <row r="57" spans="2:24" ht="22.5" customHeight="1">
      <c r="B57" s="114"/>
      <c r="C57" s="206"/>
      <c r="D57" s="206"/>
      <c r="E57" s="207"/>
      <c r="F57" s="93"/>
      <c r="G57" s="207"/>
      <c r="H57" s="93"/>
      <c r="I57" s="103"/>
      <c r="K57" s="393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6"/>
    </row>
    <row r="58" spans="2:24" ht="22.5" customHeight="1">
      <c r="B58" s="114"/>
      <c r="C58" s="1429" t="s">
        <v>1124</v>
      </c>
      <c r="D58" s="1430"/>
      <c r="E58" s="1430"/>
      <c r="F58" s="1430"/>
      <c r="G58" s="1430"/>
      <c r="H58" s="1431"/>
      <c r="I58" s="103"/>
      <c r="K58" s="393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6"/>
    </row>
    <row r="59" spans="2:24" s="101" customFormat="1" ht="9" customHeight="1">
      <c r="B59" s="114"/>
      <c r="C59" s="31"/>
      <c r="D59" s="31"/>
      <c r="E59" s="31"/>
      <c r="F59" s="31"/>
      <c r="G59" s="31"/>
      <c r="H59" s="31"/>
      <c r="I59" s="103"/>
      <c r="K59" s="393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6"/>
    </row>
    <row r="60" spans="2:24" ht="22.5" customHeight="1">
      <c r="B60" s="114"/>
      <c r="C60" s="1429" t="s">
        <v>742</v>
      </c>
      <c r="D60" s="1430"/>
      <c r="E60" s="1430"/>
      <c r="F60" s="1430"/>
      <c r="G60" s="1430"/>
      <c r="H60" s="1431"/>
      <c r="I60" s="103"/>
      <c r="K60" s="393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6"/>
    </row>
    <row r="61" spans="2:24" s="101" customFormat="1" ht="9" customHeight="1">
      <c r="B61" s="114"/>
      <c r="C61" s="31"/>
      <c r="D61" s="31"/>
      <c r="E61" s="31"/>
      <c r="F61" s="31"/>
      <c r="G61" s="31"/>
      <c r="H61" s="31"/>
      <c r="I61" s="103"/>
      <c r="K61" s="393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6"/>
    </row>
    <row r="62" spans="2:24" ht="22.5" customHeight="1">
      <c r="B62" s="114"/>
      <c r="C62" s="1360" t="s">
        <v>745</v>
      </c>
      <c r="D62" s="1361"/>
      <c r="E62" s="1362"/>
      <c r="F62" s="143"/>
      <c r="G62" s="1360" t="s">
        <v>746</v>
      </c>
      <c r="H62" s="1362"/>
      <c r="I62" s="103"/>
      <c r="K62" s="393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6"/>
    </row>
    <row r="63" spans="2:24" ht="22.5" customHeight="1">
      <c r="B63" s="114"/>
      <c r="C63" s="1360" t="s">
        <v>663</v>
      </c>
      <c r="D63" s="1362"/>
      <c r="E63" s="258" t="s">
        <v>699</v>
      </c>
      <c r="F63" s="143"/>
      <c r="G63" s="258" t="s">
        <v>663</v>
      </c>
      <c r="H63" s="243" t="s">
        <v>699</v>
      </c>
      <c r="I63" s="103"/>
      <c r="K63" s="393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6"/>
    </row>
    <row r="64" spans="2:24" ht="22.5" customHeight="1">
      <c r="B64" s="114"/>
      <c r="C64" s="271" t="s">
        <v>785</v>
      </c>
      <c r="D64" s="272"/>
      <c r="E64" s="477"/>
      <c r="F64" s="274"/>
      <c r="G64" s="273" t="str">
        <f>C64</f>
        <v>A.M.C. POLÍGONO INDUSTRIAL DE GÜIMAR</v>
      </c>
      <c r="H64" s="477"/>
      <c r="I64" s="103"/>
      <c r="K64" s="393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6"/>
    </row>
    <row r="65" spans="2:24" ht="22.5" customHeight="1">
      <c r="B65" s="114"/>
      <c r="C65" s="275" t="s">
        <v>786</v>
      </c>
      <c r="D65" s="276"/>
      <c r="E65" s="477"/>
      <c r="F65" s="274"/>
      <c r="G65" s="273" t="str">
        <f>C65</f>
        <v>MERCATENERIFE, S.A.</v>
      </c>
      <c r="H65" s="477">
        <v>6340.62</v>
      </c>
      <c r="I65" s="103"/>
      <c r="K65" s="393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6"/>
    </row>
    <row r="66" spans="2:24" ht="22.5" customHeight="1">
      <c r="B66" s="114"/>
      <c r="C66" s="275" t="s">
        <v>787</v>
      </c>
      <c r="D66" s="276"/>
      <c r="E66" s="477">
        <f>+'FC-3_1_INF_ADIC_CPyG'!K32+'FC-3_1_INF_ADIC_CPyG'!L32</f>
        <v>12447.758941675234</v>
      </c>
      <c r="F66" s="274"/>
      <c r="G66" s="273" t="str">
        <f>C66</f>
        <v>POLÍGONO INDUSTRIAL DE GRANADILLA-PARQUE TECNOLÓGICO DE TENERIFE, S.A.</v>
      </c>
      <c r="H66" s="477">
        <v>400219.83</v>
      </c>
      <c r="I66" s="103"/>
      <c r="K66" s="393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6"/>
    </row>
    <row r="67" spans="2:24" ht="22.5" customHeight="1">
      <c r="B67" s="114"/>
      <c r="C67" s="275" t="s">
        <v>788</v>
      </c>
      <c r="D67" s="276"/>
      <c r="E67" s="477"/>
      <c r="F67" s="274"/>
      <c r="G67" s="273" t="str">
        <f>C67</f>
        <v>PARQUES EÓLICOS DE GRANADILLA, A.I.E.</v>
      </c>
      <c r="H67" s="477"/>
      <c r="I67" s="103"/>
      <c r="K67" s="393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6"/>
    </row>
    <row r="68" spans="2:24" ht="22.5" customHeight="1">
      <c r="B68" s="114"/>
      <c r="C68" s="275" t="s">
        <v>789</v>
      </c>
      <c r="D68" s="276"/>
      <c r="E68" s="477">
        <f>+'FC-3_1_INF_ADIC_CPyG'!K33+'FC-3_1_INF_ADIC_CPyG'!L33</f>
        <v>229000.0275</v>
      </c>
      <c r="F68" s="274"/>
      <c r="G68" s="273" t="str">
        <f>C68</f>
        <v>EÓLICAS DE TENERIFE, A.I.E.</v>
      </c>
      <c r="H68" s="477"/>
      <c r="I68" s="103"/>
      <c r="K68" s="393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6"/>
    </row>
    <row r="69" spans="2:24" s="181" customFormat="1" ht="22.5" customHeight="1" thickBot="1">
      <c r="B69" s="179"/>
      <c r="C69" s="1354" t="s">
        <v>700</v>
      </c>
      <c r="D69" s="1355"/>
      <c r="E69" s="124">
        <f>SUM(E64:E68)</f>
        <v>241447.78644167524</v>
      </c>
      <c r="F69" s="143"/>
      <c r="G69" s="210" t="s">
        <v>700</v>
      </c>
      <c r="H69" s="124">
        <f>SUM(H64:H68)</f>
        <v>406560.45</v>
      </c>
      <c r="I69" s="180"/>
      <c r="K69" s="393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6"/>
    </row>
    <row r="70" spans="2:24" ht="22.5" customHeight="1">
      <c r="B70" s="114"/>
      <c r="C70" s="206"/>
      <c r="D70" s="206"/>
      <c r="E70" s="207"/>
      <c r="F70" s="93"/>
      <c r="G70" s="207"/>
      <c r="H70" s="93"/>
      <c r="I70" s="103"/>
      <c r="K70" s="393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6"/>
    </row>
    <row r="71" spans="2:24" ht="22.5" customHeight="1">
      <c r="B71" s="114"/>
      <c r="C71" s="164" t="s">
        <v>621</v>
      </c>
      <c r="D71" s="206"/>
      <c r="E71" s="207"/>
      <c r="F71" s="93"/>
      <c r="G71" s="207"/>
      <c r="H71" s="93"/>
      <c r="I71" s="103"/>
      <c r="K71" s="393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6"/>
    </row>
    <row r="72" spans="2:24" ht="15.75" customHeight="1">
      <c r="B72" s="114"/>
      <c r="C72" s="162" t="s">
        <v>790</v>
      </c>
      <c r="D72" s="206"/>
      <c r="E72" s="207"/>
      <c r="F72" s="93"/>
      <c r="G72" s="207"/>
      <c r="H72" s="93"/>
      <c r="I72" s="103"/>
      <c r="K72" s="393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6"/>
    </row>
    <row r="73" spans="2:24" ht="15.75" customHeight="1">
      <c r="B73" s="114"/>
      <c r="C73" s="161"/>
      <c r="D73" s="206"/>
      <c r="E73" s="207"/>
      <c r="F73" s="207"/>
      <c r="G73" s="207"/>
      <c r="H73" s="93"/>
      <c r="I73" s="103"/>
      <c r="K73" s="393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6"/>
    </row>
    <row r="74" spans="2:24" ht="15.75" customHeight="1">
      <c r="B74" s="114"/>
      <c r="C74" s="244"/>
      <c r="D74" s="162"/>
      <c r="E74" s="163"/>
      <c r="F74" s="163"/>
      <c r="G74" s="163"/>
      <c r="H74" s="93"/>
      <c r="I74" s="103"/>
      <c r="K74" s="393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</row>
    <row r="75" spans="2:24" ht="22.5" customHeight="1" thickBot="1">
      <c r="B75" s="118"/>
      <c r="C75" s="1299"/>
      <c r="D75" s="1299"/>
      <c r="E75" s="52"/>
      <c r="F75" s="52"/>
      <c r="G75" s="52"/>
      <c r="H75" s="119"/>
      <c r="I75" s="120"/>
      <c r="K75" s="387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9"/>
    </row>
    <row r="76" spans="3:10" ht="22.5" customHeight="1">
      <c r="C76" s="101"/>
      <c r="D76" s="101"/>
      <c r="E76" s="102"/>
      <c r="F76" s="102"/>
      <c r="G76" s="102"/>
      <c r="H76" s="102"/>
      <c r="J76" s="94" t="s">
        <v>83</v>
      </c>
    </row>
    <row r="77" spans="3:8" ht="12.75">
      <c r="C77" s="121" t="s">
        <v>286</v>
      </c>
      <c r="D77" s="101"/>
      <c r="E77" s="102"/>
      <c r="F77" s="102"/>
      <c r="G77" s="102"/>
      <c r="H77" s="92" t="s">
        <v>739</v>
      </c>
    </row>
    <row r="78" spans="3:8" ht="12.75">
      <c r="C78" s="122" t="s">
        <v>287</v>
      </c>
      <c r="D78" s="101"/>
      <c r="E78" s="102"/>
      <c r="F78" s="102"/>
      <c r="G78" s="102"/>
      <c r="H78" s="102"/>
    </row>
    <row r="79" spans="3:8" ht="12.75">
      <c r="C79" s="122" t="s">
        <v>288</v>
      </c>
      <c r="D79" s="101"/>
      <c r="E79" s="102"/>
      <c r="F79" s="102"/>
      <c r="G79" s="102"/>
      <c r="H79" s="102"/>
    </row>
    <row r="80" spans="3:8" ht="12.75">
      <c r="C80" s="122" t="s">
        <v>289</v>
      </c>
      <c r="D80" s="101"/>
      <c r="E80" s="102"/>
      <c r="F80" s="102"/>
      <c r="G80" s="102"/>
      <c r="H80" s="102"/>
    </row>
    <row r="81" spans="3:8" ht="12.75">
      <c r="C81" s="122" t="s">
        <v>290</v>
      </c>
      <c r="D81" s="101"/>
      <c r="E81" s="102"/>
      <c r="F81" s="102"/>
      <c r="G81" s="102"/>
      <c r="H81" s="102"/>
    </row>
    <row r="82" spans="3:8" ht="22.5" customHeight="1">
      <c r="C82" s="101"/>
      <c r="D82" s="101"/>
      <c r="E82" s="102"/>
      <c r="F82" s="102"/>
      <c r="G82" s="102"/>
      <c r="H82" s="102"/>
    </row>
    <row r="83" spans="3:8" ht="22.5" customHeight="1">
      <c r="C83" s="101"/>
      <c r="D83" s="101"/>
      <c r="E83" s="102"/>
      <c r="F83" s="102"/>
      <c r="G83" s="102"/>
      <c r="H83" s="102"/>
    </row>
    <row r="84" spans="3:8" ht="22.5" customHeight="1">
      <c r="C84" s="101"/>
      <c r="D84" s="101"/>
      <c r="E84" s="102"/>
      <c r="F84" s="102"/>
      <c r="G84" s="102"/>
      <c r="H84" s="102"/>
    </row>
    <row r="85" spans="3:8" ht="22.5" customHeight="1">
      <c r="C85" s="101"/>
      <c r="D85" s="101"/>
      <c r="E85" s="102"/>
      <c r="F85" s="102"/>
      <c r="G85" s="102"/>
      <c r="H85" s="102"/>
    </row>
    <row r="86" spans="5:8" ht="22.5" customHeight="1">
      <c r="E86" s="102"/>
      <c r="F86" s="102"/>
      <c r="G86" s="102"/>
      <c r="H86" s="102"/>
    </row>
  </sheetData>
  <sheetProtection sheet="1" objects="1" scenarios="1"/>
  <mergeCells count="15">
    <mergeCell ref="H6:H7"/>
    <mergeCell ref="D9:H9"/>
    <mergeCell ref="C12:D12"/>
    <mergeCell ref="C69:D69"/>
    <mergeCell ref="C58:H58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80" zoomScaleNormal="80" zoomScaleSheetLayoutView="50" zoomScalePageLayoutView="0" workbookViewId="0" topLeftCell="A1">
      <pane ySplit="14" topLeftCell="A15" activePane="bottomLeft" state="frozen"/>
      <selection pane="topLeft" activeCell="M21" sqref="M21"/>
      <selection pane="bottomLeft" activeCell="M21" sqref="M21"/>
    </sheetView>
  </sheetViews>
  <sheetFormatPr defaultColWidth="10.6640625" defaultRowHeight="22.5" customHeight="1"/>
  <cols>
    <col min="1" max="1" width="2.99609375" style="268" customWidth="1"/>
    <col min="2" max="2" width="3.3359375" style="268" customWidth="1"/>
    <col min="3" max="3" width="12.3359375" style="268" customWidth="1"/>
    <col min="4" max="4" width="73.6640625" style="268" customWidth="1"/>
    <col min="5" max="5" width="42.4453125" style="268" customWidth="1"/>
    <col min="6" max="7" width="39.3359375" style="268" customWidth="1"/>
    <col min="8" max="8" width="3.5546875" style="268" customWidth="1"/>
    <col min="9" max="9" width="10.6640625" style="268" customWidth="1"/>
    <col min="10" max="12" width="4.3359375" style="268" customWidth="1"/>
    <col min="13" max="13" width="11.5546875" style="268" bestFit="1" customWidth="1"/>
    <col min="14" max="16384" width="10.6640625" style="268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/>
    <row r="5" spans="2:8" ht="9" customHeight="1">
      <c r="B5" s="814" t="s">
        <v>1122</v>
      </c>
      <c r="C5" s="327"/>
      <c r="D5" s="327"/>
      <c r="E5" s="327"/>
      <c r="F5" s="327"/>
      <c r="G5" s="327"/>
      <c r="H5" s="328"/>
    </row>
    <row r="6" spans="2:8" ht="30" customHeight="1">
      <c r="B6" s="329"/>
      <c r="C6" s="1" t="s">
        <v>216</v>
      </c>
      <c r="D6" s="22"/>
      <c r="E6" s="22"/>
      <c r="F6" s="326"/>
      <c r="G6" s="1285">
        <f>ejercicio</f>
        <v>2020</v>
      </c>
      <c r="H6" s="330"/>
    </row>
    <row r="7" spans="2:8" ht="30" customHeight="1">
      <c r="B7" s="329"/>
      <c r="C7" s="1" t="s">
        <v>217</v>
      </c>
      <c r="D7" s="326"/>
      <c r="E7" s="326"/>
      <c r="F7" s="326"/>
      <c r="G7" s="1285">
        <v>2018</v>
      </c>
      <c r="H7" s="330"/>
    </row>
    <row r="8" spans="2:10" ht="30" customHeight="1">
      <c r="B8" s="329"/>
      <c r="C8" s="326"/>
      <c r="D8" s="326"/>
      <c r="E8" s="326"/>
      <c r="F8" s="326"/>
      <c r="G8" s="16"/>
      <c r="H8" s="330"/>
      <c r="J8" s="331"/>
    </row>
    <row r="9" spans="2:8" ht="30" customHeight="1">
      <c r="B9" s="329"/>
      <c r="C9" s="38" t="s">
        <v>218</v>
      </c>
      <c r="D9" s="1290" t="str">
        <f>Entidad</f>
        <v>INSTITUTO TECNOLOGICO Y DE ENERGIAS RENOVABLES S.A.</v>
      </c>
      <c r="E9" s="1290"/>
      <c r="F9" s="1290"/>
      <c r="G9" s="1290"/>
      <c r="H9" s="330"/>
    </row>
    <row r="10" spans="2:8" ht="6.75" customHeight="1">
      <c r="B10" s="329"/>
      <c r="C10" s="326"/>
      <c r="D10" s="326"/>
      <c r="E10" s="326"/>
      <c r="F10" s="326"/>
      <c r="G10" s="332"/>
      <c r="H10" s="330"/>
    </row>
    <row r="11" spans="2:8" s="12" customFormat="1" ht="30" customHeight="1">
      <c r="B11" s="23"/>
      <c r="C11" s="812" t="s">
        <v>1121</v>
      </c>
      <c r="D11" s="813"/>
      <c r="E11" s="813"/>
      <c r="F11" s="813"/>
      <c r="G11" s="813"/>
      <c r="H11" s="24"/>
    </row>
    <row r="12" spans="2:8" ht="22.5" customHeight="1">
      <c r="B12" s="329"/>
      <c r="C12" s="326"/>
      <c r="D12" s="326"/>
      <c r="E12" s="326"/>
      <c r="F12" s="326"/>
      <c r="G12" s="326"/>
      <c r="H12" s="330"/>
    </row>
    <row r="13" spans="2:8" ht="22.5" customHeight="1">
      <c r="B13" s="329"/>
      <c r="C13" s="326"/>
      <c r="D13" s="326"/>
      <c r="E13" s="202" t="s">
        <v>1090</v>
      </c>
      <c r="F13" s="202" t="s">
        <v>1089</v>
      </c>
      <c r="G13" s="202" t="s">
        <v>1091</v>
      </c>
      <c r="H13" s="330"/>
    </row>
    <row r="14" spans="2:8" ht="22.5" customHeight="1">
      <c r="B14" s="329"/>
      <c r="D14" s="326"/>
      <c r="E14" s="789">
        <f>ejercicio-2</f>
        <v>2018</v>
      </c>
      <c r="F14" s="789">
        <f>ejercicio-1</f>
        <v>2019</v>
      </c>
      <c r="G14" s="789">
        <f>ejercicio</f>
        <v>2020</v>
      </c>
      <c r="H14" s="330"/>
    </row>
    <row r="15" spans="2:13" s="794" customFormat="1" ht="30" customHeight="1">
      <c r="B15" s="790"/>
      <c r="C15" s="791" t="s">
        <v>876</v>
      </c>
      <c r="D15" s="791"/>
      <c r="E15" s="792" t="str">
        <f>IF(ROUND('FC-4_ACTIVO'!E94-'FC-4_PASIVO'!E86,2)=0,"Ok","Mal, revisa FC-4")</f>
        <v>Ok</v>
      </c>
      <c r="F15" s="792" t="str">
        <f>IF(ROUND('FC-4_ACTIVO'!F94-'FC-4_PASIVO'!F86,2)=0,"Ok","Mal, revisa FC-4")</f>
        <v>Ok</v>
      </c>
      <c r="G15" s="792" t="str">
        <f>IF(ROUND('FC-4_ACTIVO'!G94-'FC-4_PASIVO'!G86,2)=0,"Ok","Mal, revisa FC-4")</f>
        <v>Ok</v>
      </c>
      <c r="H15" s="793"/>
      <c r="J15" s="795">
        <f>IF(E15="Ok",0,1)</f>
        <v>0</v>
      </c>
      <c r="K15" s="795">
        <f>IF(F15="Ok",0,1)</f>
        <v>0</v>
      </c>
      <c r="L15" s="795">
        <f>IF(G15="Ok",0,1)</f>
        <v>0</v>
      </c>
      <c r="M15" s="795">
        <f aca="true" t="shared" si="0" ref="M15:M21">SUM(J15:L15)</f>
        <v>0</v>
      </c>
    </row>
    <row r="16" spans="2:13" s="794" customFormat="1" ht="30" customHeight="1">
      <c r="B16" s="790"/>
      <c r="C16" s="796" t="s">
        <v>878</v>
      </c>
      <c r="D16" s="796"/>
      <c r="E16" s="797" t="str">
        <f>IF(ROUND(('FC-3_CPyG'!E84-'FC-4_PASIVO'!E32),2)=0,"Ok","Mal, revisa FC-3 y FC-4")</f>
        <v>Ok</v>
      </c>
      <c r="F16" s="797" t="str">
        <f>IF(ROUND(('FC-3_CPyG'!F84-'FC-4_PASIVO'!F32),2)=0,"Ok","Mal, revisa FC-3 y FC-4")</f>
        <v>Ok</v>
      </c>
      <c r="G16" s="797" t="str">
        <f>IF(ROUND(('FC-3_CPyG'!G84-'FC-4_PASIVO'!G32),2)=0,"Ok","Mal, revisa FC-3 y FC-4")</f>
        <v>Ok</v>
      </c>
      <c r="H16" s="793"/>
      <c r="J16" s="795">
        <f aca="true" t="shared" si="1" ref="J16:J21">IF(E16="Ok",0,1)</f>
        <v>0</v>
      </c>
      <c r="K16" s="795">
        <f aca="true" t="shared" si="2" ref="K16:K21">IF(F16="Ok",0,1)</f>
        <v>0</v>
      </c>
      <c r="L16" s="795">
        <f aca="true" t="shared" si="3" ref="L16:L21">IF(G16="Ok",0,1)</f>
        <v>0</v>
      </c>
      <c r="M16" s="795">
        <f t="shared" si="0"/>
        <v>0</v>
      </c>
    </row>
    <row r="17" spans="2:13" s="794" customFormat="1" ht="30" customHeight="1">
      <c r="B17" s="790"/>
      <c r="C17" s="796" t="s">
        <v>879</v>
      </c>
      <c r="D17" s="796"/>
      <c r="E17" s="797" t="str">
        <f>IF(_GENERAL!D14="Normal",IF(ROUND('FC-5_EFE'!F92,2)=ROUND(('FC-5_EFE'!F95-'FC-5_EFE'!F94),2),"Ok","Mal, revisa FC-5"),"No aplica")</f>
        <v>Ok</v>
      </c>
      <c r="F17" s="797" t="str">
        <f>IF(_GENERAL!D14="Normal",IF(ROUND('FC-5_EFE'!G92,2)=ROUND(('FC-5_EFE'!G95-'FC-5_EFE'!G94),2),"Ok","Mal, revisa FC-5"),"No aplica")</f>
        <v>Ok</v>
      </c>
      <c r="G17" s="797" t="str">
        <f>IF(_GENERAL!D14="Normal",IF(ROUND('FC-5_EFE'!H92,2)=ROUND(('FC-5_EFE'!H95-'FC-5_EFE'!H94),2),"Ok","Mal, revisa FC-5"),"No aplica")</f>
        <v>Ok</v>
      </c>
      <c r="H17" s="793"/>
      <c r="J17" s="795">
        <f t="shared" si="1"/>
        <v>0</v>
      </c>
      <c r="K17" s="795">
        <f t="shared" si="2"/>
        <v>0</v>
      </c>
      <c r="L17" s="795">
        <f t="shared" si="3"/>
        <v>0</v>
      </c>
      <c r="M17" s="795">
        <f t="shared" si="0"/>
        <v>0</v>
      </c>
    </row>
    <row r="18" spans="2:13" s="794" customFormat="1" ht="30" customHeight="1">
      <c r="B18" s="790"/>
      <c r="C18" s="798" t="s">
        <v>939</v>
      </c>
      <c r="D18" s="796"/>
      <c r="E18" s="797" t="str">
        <f>IF(ROUND('FC-3_CPyG'!E16-'FC-3_1_INF_ADIC_CPyG'!E49,2)=0,"Ok","Mal, revisa datos en FC-3 PyG y FC3.1")</f>
        <v>Ok</v>
      </c>
      <c r="F18" s="797" t="str">
        <f>IF(ROUND('FC-3_CPyG'!F16-'FC-3_1_INF_ADIC_CPyG'!H49,2)=0,"Ok","Mal, revisa datos en FC-3 PyG y FC3.1")</f>
        <v>Ok</v>
      </c>
      <c r="G18" s="797" t="str">
        <f>IF(ROUND('FC-3_CPyG'!G16-'FC-3_1_INF_ADIC_CPyG'!K49,2)=0,"Ok","Mal, revisa datos en FC-3 PyG y FC3.1")</f>
        <v>Ok</v>
      </c>
      <c r="H18" s="793"/>
      <c r="J18" s="795">
        <f t="shared" si="1"/>
        <v>0</v>
      </c>
      <c r="K18" s="795">
        <f t="shared" si="2"/>
        <v>0</v>
      </c>
      <c r="L18" s="795">
        <f t="shared" si="3"/>
        <v>0</v>
      </c>
      <c r="M18" s="795">
        <f t="shared" si="0"/>
        <v>0</v>
      </c>
    </row>
    <row r="19" spans="2:13" s="794" customFormat="1" ht="30" customHeight="1">
      <c r="B19" s="790"/>
      <c r="C19" s="798" t="s">
        <v>942</v>
      </c>
      <c r="D19" s="796"/>
      <c r="E19" s="797" t="str">
        <f>IF(ROUND('FC-3_CPyG'!E48-'FC-3_1_INF_ADIC_CPyG'!E53-'FC-3_1_INF_ADIC_CPyG'!E62,2)=0,"Ok","Mal, revisa datos en FC-3 CPYG y FC-3.1")</f>
        <v>Ok</v>
      </c>
      <c r="F19" s="797" t="str">
        <f>IF(ROUND('FC-3_CPyG'!F48-'FC-3_1_INF_ADIC_CPyG'!F53-'FC-3_1_INF_ADIC_CPyG'!F62,2)=0,"Ok","Mal, revisa datos en FC-3 CPYG y FC-3.1")</f>
        <v>Ok</v>
      </c>
      <c r="G19" s="797" t="str">
        <f>IF(ROUND('FC-3_CPyG'!G48-'FC-3_1_INF_ADIC_CPyG'!G53-'FC-3_1_INF_ADIC_CPyG'!G62,2)=0,"Ok","Mal, revisa datos en FC-3 CPYG y FC-3.1")</f>
        <v>Ok</v>
      </c>
      <c r="H19" s="793"/>
      <c r="J19" s="795">
        <f t="shared" si="1"/>
        <v>0</v>
      </c>
      <c r="K19" s="795">
        <f t="shared" si="2"/>
        <v>0</v>
      </c>
      <c r="L19" s="795">
        <f t="shared" si="3"/>
        <v>0</v>
      </c>
      <c r="M19" s="795">
        <f t="shared" si="0"/>
        <v>0</v>
      </c>
    </row>
    <row r="20" spans="2:13" s="794" customFormat="1" ht="30" customHeight="1">
      <c r="B20" s="790"/>
      <c r="C20" s="798" t="s">
        <v>943</v>
      </c>
      <c r="D20" s="796"/>
      <c r="E20" s="797" t="str">
        <f>IF(ROUND('FC-3_CPyG'!E28-'FC-3_1_INF_ADIC_CPyG'!E83,2)=0,"Ok","Mal, revísa datos en FC-3 y FC-3.1")</f>
        <v>Ok</v>
      </c>
      <c r="F20" s="797" t="str">
        <f>IF(ROUND('FC-3_CPyG'!F28-'FC-3_1_INF_ADIC_CPyG'!F83,2)=0,"Ok","Mal, revísa datos en FC-3 y FC-3.1")</f>
        <v>Ok</v>
      </c>
      <c r="G20" s="797" t="str">
        <f>IF(ROUND('FC-3_CPyG'!G28-'FC-3_1_INF_ADIC_CPyG'!G83,2)=0,"Ok","Mal, revísa datos en FC-3 y FC-3.1")</f>
        <v>Ok</v>
      </c>
      <c r="H20" s="793"/>
      <c r="J20" s="795">
        <f t="shared" si="1"/>
        <v>0</v>
      </c>
      <c r="K20" s="795">
        <f t="shared" si="2"/>
        <v>0</v>
      </c>
      <c r="L20" s="795">
        <f t="shared" si="3"/>
        <v>0</v>
      </c>
      <c r="M20" s="795">
        <f t="shared" si="0"/>
        <v>0</v>
      </c>
    </row>
    <row r="21" spans="2:13" s="794" customFormat="1" ht="30" customHeight="1">
      <c r="B21" s="790"/>
      <c r="C21" s="798" t="s">
        <v>944</v>
      </c>
      <c r="D21" s="796"/>
      <c r="E21" s="797" t="str">
        <f>IF(ROUND('FC-3_CPyG'!E29-'FC-3_1_INF_ADIC_CPyG'!E87,2)=0,"Ok","Mal, revisa datos en FC-3 CPyG y FC-3.1")</f>
        <v>Ok</v>
      </c>
      <c r="F21" s="797" t="str">
        <f>IF(ROUND('FC-3_CPyG'!F29-'FC-3_1_INF_ADIC_CPyG'!F87,2)=0,"Ok","Mal, revisa datos en FC-3 CPyG y FC-3.1")</f>
        <v>Ok</v>
      </c>
      <c r="G21" s="797" t="str">
        <f>IF(ROUND('FC-3_CPyG'!G29-'FC-3_1_INF_ADIC_CPyG'!G87,2)=0,"Ok","Mal, revisa datos en FC-3 CPyG y FC-3.1")</f>
        <v>Ok</v>
      </c>
      <c r="H21" s="793"/>
      <c r="J21" s="795">
        <f t="shared" si="1"/>
        <v>0</v>
      </c>
      <c r="K21" s="795">
        <f t="shared" si="2"/>
        <v>0</v>
      </c>
      <c r="L21" s="795">
        <f t="shared" si="3"/>
        <v>0</v>
      </c>
      <c r="M21" s="795">
        <f t="shared" si="0"/>
        <v>0</v>
      </c>
    </row>
    <row r="22" spans="2:13" s="794" customFormat="1" ht="30" customHeight="1">
      <c r="B22" s="790"/>
      <c r="C22" s="843" t="s">
        <v>115</v>
      </c>
      <c r="D22" s="796"/>
      <c r="E22" s="799"/>
      <c r="F22" s="797" t="str">
        <f>IF(ROUND('FC-4_PASIVO'!F18-'FC-4_1_MOV_FP'!L17,2)=0,"Ok","Mal, revisa FC-4 y FC-4.1 MOV. F.P.")</f>
        <v>Ok</v>
      </c>
      <c r="G22" s="797" t="str">
        <f>IF(ROUND('FC-4_PASIVO'!G18-'FC-4_1_MOV_FP'!L39,2)=0,"Ok","Mal, revisa FC-4 y FC-4.1 MOV. F.P.")</f>
        <v>Ok</v>
      </c>
      <c r="H22" s="793"/>
      <c r="J22" s="795"/>
      <c r="K22" s="795"/>
      <c r="L22" s="795"/>
      <c r="M22" s="795"/>
    </row>
    <row r="23" spans="2:13" s="794" customFormat="1" ht="30" customHeight="1">
      <c r="B23" s="790"/>
      <c r="C23" s="843" t="s">
        <v>116</v>
      </c>
      <c r="D23" s="796"/>
      <c r="E23" s="799"/>
      <c r="F23" s="797" t="str">
        <f>IF(ROUND('FC-4_PASIVO'!F21-'FC-4_1_MOV_FP'!L20,2)=0,"Ok","Mal, revisa FC-4 y FC-4.1 MOV. F.P.")</f>
        <v>Ok</v>
      </c>
      <c r="G23" s="797" t="str">
        <f>IF(ROUND('FC-4_PASIVO'!G21-'FC-4_1_MOV_FP'!L42,2)=0,"Ok","Mal, revisa FC-4 y FC-4.1 MOV. F.P.")</f>
        <v>Ok</v>
      </c>
      <c r="H23" s="793"/>
      <c r="J23" s="795"/>
      <c r="K23" s="795"/>
      <c r="L23" s="795"/>
      <c r="M23" s="795"/>
    </row>
    <row r="24" spans="2:13" s="794" customFormat="1" ht="30" customHeight="1">
      <c r="B24" s="790"/>
      <c r="C24" s="843" t="s">
        <v>117</v>
      </c>
      <c r="D24" s="796"/>
      <c r="E24" s="799"/>
      <c r="F24" s="797" t="str">
        <f>IF(ROUND('FC-4_PASIVO'!F22-'FC-4_1_MOV_FP'!L21,2)=0,"Ok","Mal, revisa FC-4 y FC-4.1 MOV. F.P.")</f>
        <v>Ok</v>
      </c>
      <c r="G24" s="797" t="str">
        <f>IF(ROUND('FC-4_PASIVO'!G22-'FC-4_1_MOV_FP'!L43,2)=0,"Ok","Mal, revisa FC-4 y FC-4.1 MOV. F.P.")</f>
        <v>Ok</v>
      </c>
      <c r="H24" s="793"/>
      <c r="J24" s="795"/>
      <c r="K24" s="795"/>
      <c r="L24" s="795"/>
      <c r="M24" s="795"/>
    </row>
    <row r="25" spans="2:13" s="794" customFormat="1" ht="30" customHeight="1">
      <c r="B25" s="790"/>
      <c r="C25" s="843" t="s">
        <v>118</v>
      </c>
      <c r="D25" s="796"/>
      <c r="E25" s="799"/>
      <c r="F25" s="797" t="str">
        <f>IF(ROUND('FC-4_PASIVO'!F27-'FC-4_1_MOV_FP'!L26,2)=0,"Ok","Mal, revisa FC-4 y FC-4.1 MOV. F.P.")</f>
        <v>Ok</v>
      </c>
      <c r="G25" s="797" t="str">
        <f>IF(ROUND('FC-4_PASIVO'!G27-'FC-4_1_MOV_FP'!L48,2)=0,"Ok","Mal, revisa FC-4 y FC-4.1 MOV. F.P.")</f>
        <v>Ok</v>
      </c>
      <c r="H25" s="793"/>
      <c r="J25" s="795"/>
      <c r="K25" s="795"/>
      <c r="L25" s="795"/>
      <c r="M25" s="795"/>
    </row>
    <row r="26" spans="2:13" s="794" customFormat="1" ht="30" customHeight="1">
      <c r="B26" s="790"/>
      <c r="C26" s="843" t="s">
        <v>119</v>
      </c>
      <c r="D26" s="796"/>
      <c r="E26" s="799"/>
      <c r="F26" s="797" t="str">
        <f>IF(ROUND('FC-4_PASIVO'!F28-'FC-4_1_MOV_FP'!L27,2)=0,"Ok","Mal, revisa FC-4 y FC-4.1 MOV. F.P.")</f>
        <v>Ok</v>
      </c>
      <c r="G26" s="797" t="str">
        <f>IF(ROUND('FC-4_PASIVO'!G28-'FC-4_1_MOV_FP'!L49,2)=0,"Ok","Mal, revisa FC-4 y FC-4.1 MOV. F.P.")</f>
        <v>Ok</v>
      </c>
      <c r="H26" s="793"/>
      <c r="J26" s="795"/>
      <c r="K26" s="795"/>
      <c r="L26" s="795"/>
      <c r="M26" s="795"/>
    </row>
    <row r="27" spans="2:13" s="794" customFormat="1" ht="30" customHeight="1">
      <c r="B27" s="790"/>
      <c r="C27" s="843" t="s">
        <v>120</v>
      </c>
      <c r="D27" s="796"/>
      <c r="E27" s="799"/>
      <c r="F27" s="797" t="str">
        <f>IF(ROUND('FC-4_PASIVO'!F31-'FC-4_1_MOV_FP'!L30,2)=0,"Ok","Mal, revisa FC-4 y FC-4.1 MOV. F.P.")</f>
        <v>Ok</v>
      </c>
      <c r="G27" s="797" t="str">
        <f>IF(ROUND('FC-4_PASIVO'!G31-'FC-4_1_MOV_FP'!L52,2)=0,"Ok","Mal, revisa FC-4 y FC-4.1 MOV. F.P.")</f>
        <v>Ok</v>
      </c>
      <c r="H27" s="793"/>
      <c r="J27" s="795"/>
      <c r="K27" s="795"/>
      <c r="L27" s="795"/>
      <c r="M27" s="795"/>
    </row>
    <row r="28" spans="2:13" s="794" customFormat="1" ht="30" customHeight="1">
      <c r="B28" s="790"/>
      <c r="C28" s="843" t="s">
        <v>121</v>
      </c>
      <c r="D28" s="796"/>
      <c r="E28" s="799"/>
      <c r="F28" s="797" t="str">
        <f>IF(ROUND('FC-4_PASIVO'!F32-'FC-4_1_MOV_FP'!L31,2)=0,"Ok","Mal, revisa FC-4 y FC-4.1 MOV. F.P.")</f>
        <v>Ok</v>
      </c>
      <c r="G28" s="797" t="str">
        <f>IF(ROUND('FC-4_PASIVO'!G32-'FC-4_1_MOV_FP'!L53,2)=0,"Ok","Mal, revisa FC-4 y FC-4.1 MOV. F.P.")</f>
        <v>Ok</v>
      </c>
      <c r="H28" s="793"/>
      <c r="J28" s="795"/>
      <c r="K28" s="795"/>
      <c r="L28" s="795"/>
      <c r="M28" s="795"/>
    </row>
    <row r="29" spans="2:13" s="794" customFormat="1" ht="30" customHeight="1">
      <c r="B29" s="790"/>
      <c r="C29" s="843" t="s">
        <v>122</v>
      </c>
      <c r="D29" s="796"/>
      <c r="E29" s="799"/>
      <c r="F29" s="797" t="str">
        <f>IF(ROUND('FC-4_PASIVO'!F33-'FC-4_1_MOV_FP'!L32,2)=0,"Ok","Mal, revisa FC-4 y FC-4.1 MOV. F.P.")</f>
        <v>Ok</v>
      </c>
      <c r="G29" s="797" t="str">
        <f>IF(ROUND('FC-4_PASIVO'!G33-'FC-4_1_MOV_FP'!L54,2)=0,"Ok","Mal, revisa FC-4 y FC-4.1 MOV. F.P.")</f>
        <v>Ok</v>
      </c>
      <c r="H29" s="793"/>
      <c r="J29" s="795"/>
      <c r="K29" s="795"/>
      <c r="L29" s="795"/>
      <c r="M29" s="795"/>
    </row>
    <row r="30" spans="2:13" s="794" customFormat="1" ht="30" customHeight="1">
      <c r="B30" s="790"/>
      <c r="C30" s="843" t="s">
        <v>123</v>
      </c>
      <c r="D30" s="796"/>
      <c r="E30" s="799"/>
      <c r="F30" s="797" t="str">
        <f>IF(ROUND('FC-4_PASIVO'!F34-'FC-4_1_MOV_FP'!L33,2)=0,"Ok","Mal, revisa FC-4 y FC-4.1 MOV. F.P.")</f>
        <v>Ok</v>
      </c>
      <c r="G30" s="797" t="str">
        <f>IF(ROUND('FC-4_PASIVO'!G34-'FC-4_1_MOV_FP'!L55,2)=0,"Ok","Mal, revisa FC-4 y FC-4.1 MOV. F.P.")</f>
        <v>Ok</v>
      </c>
      <c r="H30" s="793"/>
      <c r="J30" s="795"/>
      <c r="K30" s="795"/>
      <c r="L30" s="795"/>
      <c r="M30" s="795"/>
    </row>
    <row r="31" spans="2:13" s="794" customFormat="1" ht="30" customHeight="1">
      <c r="B31" s="790"/>
      <c r="C31" s="843" t="s">
        <v>124</v>
      </c>
      <c r="D31" s="796"/>
      <c r="E31" s="799"/>
      <c r="F31" s="797" t="str">
        <f>IF(ROUND('FC-4_1_MOV_FP'!H30-'FC-9_TRANS_SUBV'!G99,2)=0,"Ok","Mal, revísa FC-4 PASIVO y FC-9")</f>
        <v>Ok</v>
      </c>
      <c r="G31" s="797" t="str">
        <f>IF(ROUND('FC-4_1_MOV_FP'!H52-'FC-9_TRANS_SUBV'!H99,2)=0,"Ok","Mal, revísa FC-4 PASIVO y FC-9")</f>
        <v>Ok</v>
      </c>
      <c r="H31" s="793"/>
      <c r="J31" s="795"/>
      <c r="K31" s="795">
        <f>IF(F31="Ok",0,1)</f>
        <v>0</v>
      </c>
      <c r="L31" s="795">
        <f>IF(G31="Ok",0,1)</f>
        <v>0</v>
      </c>
      <c r="M31" s="795">
        <f aca="true" t="shared" si="4" ref="M31:M37">SUM(J31:L31)</f>
        <v>0</v>
      </c>
    </row>
    <row r="32" spans="2:13" s="794" customFormat="1" ht="30" customHeight="1">
      <c r="B32" s="790"/>
      <c r="C32" s="798" t="s">
        <v>938</v>
      </c>
      <c r="D32" s="796"/>
      <c r="E32" s="799"/>
      <c r="F32" s="799"/>
      <c r="G32" s="797" t="str">
        <f>IF(ROUND('FC-6_Inversiones'!G46-SUM('FC-6_Inversiones'!H46:M46),2)=0,"Ok","Mal, revisa totales FC-6")</f>
        <v>Ok</v>
      </c>
      <c r="H32" s="793"/>
      <c r="J32" s="795"/>
      <c r="K32" s="795"/>
      <c r="L32" s="795">
        <f aca="true" t="shared" si="5" ref="L32:L37">IF(G32="Ok",0,1)</f>
        <v>0</v>
      </c>
      <c r="M32" s="795">
        <f t="shared" si="4"/>
        <v>0</v>
      </c>
    </row>
    <row r="33" spans="2:13" s="794" customFormat="1" ht="30" customHeight="1">
      <c r="B33" s="790"/>
      <c r="C33" s="796" t="s">
        <v>881</v>
      </c>
      <c r="D33" s="796"/>
      <c r="E33" s="799"/>
      <c r="F33" s="797" t="str">
        <f>IF(ROUND('FC-4_ACTIVO'!F17-'FC-7_INF'!M15,2)=0,"Ok","Mal, revisa FC-4 ACTIVO y FC-7")</f>
        <v>Ok</v>
      </c>
      <c r="G33" s="797" t="str">
        <f>IF(ROUND('FC-4_ACTIVO'!G17-'FC-7_INF'!M26,2)=0,"Ok","Mal, revisa FC-4 ACTIVO y FC-7")</f>
        <v>Ok</v>
      </c>
      <c r="H33" s="793"/>
      <c r="J33" s="795"/>
      <c r="K33" s="795">
        <f>IF(F33="Ok",0,1)</f>
        <v>0</v>
      </c>
      <c r="L33" s="795">
        <f t="shared" si="5"/>
        <v>0</v>
      </c>
      <c r="M33" s="795">
        <f t="shared" si="4"/>
        <v>0</v>
      </c>
    </row>
    <row r="34" spans="2:13" s="794" customFormat="1" ht="30" customHeight="1">
      <c r="B34" s="790"/>
      <c r="C34" s="796" t="s">
        <v>880</v>
      </c>
      <c r="D34" s="796"/>
      <c r="E34" s="799"/>
      <c r="F34" s="797" t="str">
        <f>IF(ROUND('FC-4_ACTIVO'!F26-'FC-7_INF'!M16-'FC-7_INF'!M17,2)=0,"Ok","Mal, revisa FC-4 ACTIVO y FC-7")</f>
        <v>Ok</v>
      </c>
      <c r="G34" s="797" t="str">
        <f>IF(ROUND('FC-4_ACTIVO'!G26-'FC-7_INF'!M27-'FC-7_INF'!M28,2)=0,"Ok","Mal, revisa FC-4 ACTIVO y FC-7")</f>
        <v>Ok</v>
      </c>
      <c r="H34" s="793"/>
      <c r="J34" s="795"/>
      <c r="K34" s="795">
        <f>IF(F34="Ok",0,1)</f>
        <v>0</v>
      </c>
      <c r="L34" s="795">
        <f t="shared" si="5"/>
        <v>0</v>
      </c>
      <c r="M34" s="795">
        <f t="shared" si="4"/>
        <v>0</v>
      </c>
    </row>
    <row r="35" spans="2:13" s="794" customFormat="1" ht="30" customHeight="1">
      <c r="B35" s="790"/>
      <c r="C35" s="796" t="s">
        <v>882</v>
      </c>
      <c r="D35" s="796"/>
      <c r="E35" s="799"/>
      <c r="F35" s="797" t="str">
        <f>IF(ROUND(('FC-4_ACTIVO'!F30-'FC-7_INF'!M18-'FC-7_INF'!M19),2)=0,"Ok","Mal, revisa FC-4 ACTIVO y FC-7")</f>
        <v>Ok</v>
      </c>
      <c r="G35" s="797" t="str">
        <f>IF(ROUND(('FC-4_ACTIVO'!G30-'FC-7_INF'!M29-'FC-7_INF'!M30),2)=0,"Ok","Mal, revisa FC-4 ACTIVO y FC-7")</f>
        <v>Ok</v>
      </c>
      <c r="H35" s="793"/>
      <c r="J35" s="795"/>
      <c r="K35" s="795">
        <f>IF(F35="Ok",0,1)</f>
        <v>0</v>
      </c>
      <c r="L35" s="795">
        <f t="shared" si="5"/>
        <v>0</v>
      </c>
      <c r="M35" s="795">
        <f t="shared" si="4"/>
        <v>0</v>
      </c>
    </row>
    <row r="36" spans="2:13" s="794" customFormat="1" ht="30" customHeight="1">
      <c r="B36" s="790"/>
      <c r="C36" s="798" t="s">
        <v>925</v>
      </c>
      <c r="D36" s="796"/>
      <c r="E36" s="799"/>
      <c r="F36" s="800" t="str">
        <f>IF(ROUND('FC-7_INF'!M22-'FC-4_ACTIVO'!F52,2)=0,"Ok","Mal, revisa FC-4 ACTIVO y FC-7")</f>
        <v>Ok</v>
      </c>
      <c r="G36" s="800" t="str">
        <f>IF(ROUND('FC-7_INF'!M33-'FC-4_ACTIVO'!G52,2)=0,"Ok","Mal, revisa FC-4 ACTIVO y FC-7")</f>
        <v>Ok</v>
      </c>
      <c r="H36" s="793"/>
      <c r="J36" s="795"/>
      <c r="K36" s="795">
        <f>IF(F36="Ok",0,1)</f>
        <v>0</v>
      </c>
      <c r="L36" s="795">
        <f t="shared" si="5"/>
        <v>0</v>
      </c>
      <c r="M36" s="795">
        <f t="shared" si="4"/>
        <v>0</v>
      </c>
    </row>
    <row r="37" spans="2:13" s="794" customFormat="1" ht="30" customHeight="1">
      <c r="B37" s="790"/>
      <c r="C37" s="798" t="s">
        <v>926</v>
      </c>
      <c r="D37" s="796"/>
      <c r="E37" s="799"/>
      <c r="F37" s="797" t="str">
        <f>IF(ROUND('FC-3_CPyG'!F40-'FC-7_INF'!I20,2)=0,"Ok","Mal, revisa datos en FC-3 y FC-7")</f>
        <v>Ok</v>
      </c>
      <c r="G37" s="797" t="str">
        <f>IF(ROUND('FC-3_CPyG'!G40-'FC-7_INF'!I31,2)=0,"Ok","Mal, revisa datos en FC-3 y FC-7")</f>
        <v>Ok</v>
      </c>
      <c r="H37" s="793"/>
      <c r="J37" s="795"/>
      <c r="K37" s="795">
        <f>IF(F37="Ok",0,1)</f>
        <v>0</v>
      </c>
      <c r="L37" s="795">
        <f t="shared" si="5"/>
        <v>0</v>
      </c>
      <c r="M37" s="795">
        <f t="shared" si="4"/>
        <v>0</v>
      </c>
    </row>
    <row r="38" spans="2:13" s="794" customFormat="1" ht="30" customHeight="1">
      <c r="B38" s="790"/>
      <c r="C38" s="801" t="s">
        <v>1088</v>
      </c>
      <c r="D38" s="796"/>
      <c r="E38" s="799"/>
      <c r="F38" s="799"/>
      <c r="G38" s="797" t="str">
        <f>IF(ROUND('FC-6_Inversiones'!I46-'FC-7_INF'!F31,2)=0,"Ok","Mal, revisa I46 en FC-6 y F31 en FC-7")</f>
        <v>Ok</v>
      </c>
      <c r="H38" s="793"/>
      <c r="J38" s="795"/>
      <c r="K38" s="795"/>
      <c r="L38" s="795"/>
      <c r="M38" s="795"/>
    </row>
    <row r="39" spans="2:13" s="794" customFormat="1" ht="30" customHeight="1">
      <c r="B39" s="790"/>
      <c r="C39" s="802" t="s">
        <v>1116</v>
      </c>
      <c r="D39" s="802"/>
      <c r="E39" s="803"/>
      <c r="F39" s="803"/>
      <c r="G39" s="804" t="str">
        <f>IF(ROUND(('FC-4_ACTIVO'!G34+'FC-4_ACTIVO'!G76)-'FC-8_INV_FINANCIERAS'!J25,2)=0,"Ok","Mal, revisa datos en FC-4 Activo y FC-8")</f>
        <v>Ok</v>
      </c>
      <c r="H39" s="793"/>
      <c r="J39" s="795"/>
      <c r="K39" s="795"/>
      <c r="L39" s="795"/>
      <c r="M39" s="795"/>
    </row>
    <row r="40" spans="2:13" s="794" customFormat="1" ht="30" customHeight="1">
      <c r="B40" s="790"/>
      <c r="C40" s="802" t="s">
        <v>1118</v>
      </c>
      <c r="D40" s="802"/>
      <c r="E40" s="803"/>
      <c r="F40" s="803"/>
      <c r="G40" s="804" t="str">
        <f>IF(ROUND((SUM('FC-4_ACTIVO'!G35:G39)+SUM('FC-4_ACTIVO'!G77:G81))-('FC-8_INV_FINANCIERAS'!J34),2)=0,"Ok","Mal, revisa datos en FC-4 Activo y FC-8")</f>
        <v>Ok</v>
      </c>
      <c r="H40" s="793"/>
      <c r="J40" s="795"/>
      <c r="K40" s="795"/>
      <c r="L40" s="795"/>
      <c r="M40" s="795"/>
    </row>
    <row r="41" spans="2:13" s="794" customFormat="1" ht="30" customHeight="1">
      <c r="B41" s="790"/>
      <c r="C41" s="802" t="s">
        <v>1117</v>
      </c>
      <c r="D41" s="802"/>
      <c r="E41" s="803"/>
      <c r="F41" s="803"/>
      <c r="G41" s="804" t="str">
        <f>IF(ROUND(('FC-4_ACTIVO'!G41+'FC-4_ACTIVO'!G83)-'FC-8_INV_FINANCIERAS'!J49,2)=0,"Ok","Mal, revisa datos en FC-4 ACTIVO y FC-8")</f>
        <v>Ok</v>
      </c>
      <c r="H41" s="793"/>
      <c r="J41" s="795"/>
      <c r="K41" s="795"/>
      <c r="L41" s="795"/>
      <c r="M41" s="795"/>
    </row>
    <row r="42" spans="2:13" s="794" customFormat="1" ht="30" customHeight="1">
      <c r="B42" s="790"/>
      <c r="C42" s="802" t="s">
        <v>1119</v>
      </c>
      <c r="D42" s="802"/>
      <c r="E42" s="803"/>
      <c r="F42" s="803"/>
      <c r="G42" s="804" t="str">
        <f>IF(ROUND((SUM('FC-4_ACTIVO'!G42:G46)+SUM('FC-4_ACTIVO'!G84:G88))-'FC-8_INV_FINANCIERAS'!J58,2)=0,"Ok","Mal, revisa datos en FC-4 Activo y en FC-8")</f>
        <v>Ok</v>
      </c>
      <c r="H42" s="793"/>
      <c r="J42" s="795"/>
      <c r="K42" s="795"/>
      <c r="L42" s="795"/>
      <c r="M42" s="795"/>
    </row>
    <row r="43" spans="2:13" s="794" customFormat="1" ht="30" customHeight="1">
      <c r="B43" s="790"/>
      <c r="C43" s="843" t="s">
        <v>92</v>
      </c>
      <c r="D43" s="796"/>
      <c r="E43" s="803"/>
      <c r="F43" s="911" t="str">
        <f>IF(ROUND('FC-9_TRANS_SUBV'!F38-'FC-9_TRANS_SUBV'!G38-'FC-9_TRANS_SUBV'!H38,2)=0,"Ok","Mal, revisa en FC-9 línea original 31")</f>
        <v>Ok</v>
      </c>
      <c r="G43" s="911" t="str">
        <f>IF(ROUND('FC-9_TRANS_SUBV'!I38-'FC-9_TRANS_SUBV'!J38-'FC-9_TRANS_SUBV'!K38,2)=0,"Ok","Mal, revisa en FC-9 línea original 31")</f>
        <v>Ok</v>
      </c>
      <c r="H43" s="793"/>
      <c r="J43" s="795"/>
      <c r="K43" s="795"/>
      <c r="L43" s="795"/>
      <c r="M43" s="795"/>
    </row>
    <row r="44" spans="2:13" s="794" customFormat="1" ht="30" customHeight="1">
      <c r="B44" s="790"/>
      <c r="C44" s="798" t="s">
        <v>928</v>
      </c>
      <c r="D44" s="796"/>
      <c r="E44" s="799"/>
      <c r="F44" s="797" t="str">
        <f>IF(ROUND('FC-4_PASIVO'!F41-'FC-9_TRANS_SUBV'!G41,2)=0,"Ok","Mal, revisa FC-4 PASIVO y FC-9")</f>
        <v>Ok</v>
      </c>
      <c r="G44" s="797" t="str">
        <f>IF(ROUND('FC-4_PASIVO'!G41-'FC-9_TRANS_SUBV'!J41,2)=0,"Ok","Mal, revisa FC-4 PASIVO y FC-9")</f>
        <v>Ok</v>
      </c>
      <c r="H44" s="793"/>
      <c r="J44" s="795"/>
      <c r="K44" s="795">
        <f>IF(F44="Ok",0,1)</f>
        <v>0</v>
      </c>
      <c r="L44" s="795">
        <f>IF(G44="Ok",0,1)</f>
        <v>0</v>
      </c>
      <c r="M44" s="795">
        <f>SUM(J44:L44)</f>
        <v>0</v>
      </c>
    </row>
    <row r="45" spans="2:13" s="841" customFormat="1" ht="30" customHeight="1">
      <c r="B45" s="842"/>
      <c r="C45" s="843" t="s">
        <v>1164</v>
      </c>
      <c r="D45" s="843"/>
      <c r="E45" s="844"/>
      <c r="F45" s="845" t="str">
        <f>IF(ROUND('FC-3_CPyG'!F41+('FC-9_TRANS_SUBV'!F40),2)=0,"Ok","Mal, revisa datos FC-3 epígr. A) 9. y FC-9 celda F33")</f>
        <v>Ok</v>
      </c>
      <c r="G45" s="845" t="str">
        <f>IF(ROUND('FC-3_CPyG'!G41+('FC-9_TRANS_SUBV'!I40),2)=0,"Ok","Mal, revisa datos FC-3 epígr. A) 9. y FC-9 celda G33")</f>
        <v>Ok</v>
      </c>
      <c r="H45" s="846"/>
      <c r="J45" s="795"/>
      <c r="K45" s="795"/>
      <c r="L45" s="795"/>
      <c r="M45" s="795"/>
    </row>
    <row r="46" spans="2:13" s="794" customFormat="1" ht="30" customHeight="1">
      <c r="B46" s="790"/>
      <c r="C46" s="798" t="s">
        <v>929</v>
      </c>
      <c r="D46" s="796"/>
      <c r="E46" s="799"/>
      <c r="F46" s="797" t="str">
        <f>IF(ROUND('FC-3_CPyG'!F29-'FC-9_TRANS_SUBV'!G83,2)=0,"Ok","Mal, revisa dato en FC-3 y FC-9")</f>
        <v>Ok</v>
      </c>
      <c r="G46" s="797" t="str">
        <f>IF(ROUND('FC-3_CPyG'!G29-'FC-9_TRANS_SUBV'!H83,2)=0,"Ok","Mal, revisa dato en FC-3 y FC-9")</f>
        <v>Ok</v>
      </c>
      <c r="H46" s="793"/>
      <c r="J46" s="795"/>
      <c r="K46" s="795">
        <f>IF(F46="Ok",0,1)</f>
        <v>0</v>
      </c>
      <c r="L46" s="795">
        <f>IF(G46="Ok",0,1)</f>
        <v>0</v>
      </c>
      <c r="M46" s="795">
        <f>SUM(J46:L46)</f>
        <v>0</v>
      </c>
    </row>
    <row r="47" spans="2:13" s="794" customFormat="1" ht="30" customHeight="1">
      <c r="B47" s="790"/>
      <c r="C47" s="843" t="s">
        <v>157</v>
      </c>
      <c r="D47" s="796"/>
      <c r="E47" s="799"/>
      <c r="F47" s="797" t="str">
        <f>IF(ROUND('FC-3_1_INF_ADIC_CPyG'!F91-'FC-9_TRANS_SUBV'!G84,2)=0,"Ok","Mal, revisa dato en FC-3_1 y FC-9")</f>
        <v>Ok</v>
      </c>
      <c r="G47" s="797" t="str">
        <f>IF(ROUND('FC-3_1_INF_ADIC_CPyG'!G91-'FC-9_TRANS_SUBV'!H84,2)=0,"Ok","Mal, revisa dato en FC-3_1 y FC-9")</f>
        <v>Ok</v>
      </c>
      <c r="H47" s="793"/>
      <c r="J47" s="795"/>
      <c r="K47" s="795"/>
      <c r="L47" s="795"/>
      <c r="M47" s="795"/>
    </row>
    <row r="48" spans="2:13" s="794" customFormat="1" ht="30" customHeight="1">
      <c r="B48" s="790"/>
      <c r="C48" s="843" t="s">
        <v>74</v>
      </c>
      <c r="D48" s="796"/>
      <c r="E48" s="799"/>
      <c r="F48" s="799"/>
      <c r="G48" s="797" t="str">
        <f>IF(ROUND(('FC-4_PASIVO'!G51+'FC-4_PASIVO'!G52)-('FC-10_DEUDAS'!S43),2)=0,"Ok","Mal, revisa datos en FC-4 PASIVO y FC-10")</f>
        <v>Ok</v>
      </c>
      <c r="H48" s="793"/>
      <c r="J48" s="795"/>
      <c r="K48" s="795">
        <f>IF(F48="Ok",0,1)</f>
        <v>1</v>
      </c>
      <c r="L48" s="795">
        <f>IF(G48="Ok",0,1)</f>
        <v>0</v>
      </c>
      <c r="M48" s="795">
        <f>SUM(J48:L48)</f>
        <v>1</v>
      </c>
    </row>
    <row r="49" spans="2:13" s="794" customFormat="1" ht="30" customHeight="1">
      <c r="B49" s="790"/>
      <c r="C49" s="843" t="s">
        <v>75</v>
      </c>
      <c r="D49" s="796"/>
      <c r="E49" s="799"/>
      <c r="F49" s="799"/>
      <c r="G49" s="797" t="str">
        <f>IF(ROUND(('FC-4_PASIVO'!G68+'FC-4_PASIVO'!G69)-('FC-10_DEUDAS'!R43),2)=0,"Ok","Mal, revisa datos en FC-4 PASIVO y FC-10")</f>
        <v>Ok</v>
      </c>
      <c r="H49" s="793"/>
      <c r="J49" s="795"/>
      <c r="K49" s="795"/>
      <c r="L49" s="795"/>
      <c r="M49" s="795"/>
    </row>
    <row r="50" spans="2:13" s="794" customFormat="1" ht="30" customHeight="1">
      <c r="B50" s="790"/>
      <c r="C50" s="843" t="s">
        <v>96</v>
      </c>
      <c r="D50" s="796"/>
      <c r="E50" s="799"/>
      <c r="F50" s="799"/>
      <c r="G50" s="797" t="str">
        <f>IF(ROUND('FC-4_PASIVO'!G54-'FC-10_DEUDAS'!S75,2)=0,"Ok","Mal, revisa datos en FC-4 Pasivo y FC-10")</f>
        <v>Ok</v>
      </c>
      <c r="H50" s="793"/>
      <c r="J50" s="795"/>
      <c r="K50" s="795"/>
      <c r="L50" s="795"/>
      <c r="M50" s="795"/>
    </row>
    <row r="51" spans="2:13" s="794" customFormat="1" ht="30" customHeight="1">
      <c r="B51" s="790"/>
      <c r="C51" s="843" t="s">
        <v>95</v>
      </c>
      <c r="D51" s="796"/>
      <c r="E51" s="799"/>
      <c r="F51" s="799"/>
      <c r="G51" s="797" t="str">
        <f>IF(ROUND('FC-4_PASIVO'!G71-'FC-10_DEUDAS'!R75,2)=0,"Ok","Mal, revisa datos en FC-4 Pasivo y FC-10")</f>
        <v>Ok</v>
      </c>
      <c r="H51" s="793"/>
      <c r="J51" s="795"/>
      <c r="K51" s="795"/>
      <c r="L51" s="795"/>
      <c r="M51" s="795"/>
    </row>
    <row r="52" spans="2:13" s="794" customFormat="1" ht="30" customHeight="1">
      <c r="B52" s="790"/>
      <c r="C52" s="843" t="s">
        <v>97</v>
      </c>
      <c r="D52" s="796"/>
      <c r="E52" s="799"/>
      <c r="F52" s="799"/>
      <c r="G52" s="797" t="str">
        <f>IF(ROUND('FC-4_PASIVO'!G55-'FC-10_DEUDAS'!S107,2)=0,"Ok","Mal, revisa datos en FC-4 Pasivo y FC-10")</f>
        <v>Ok</v>
      </c>
      <c r="H52" s="793"/>
      <c r="J52" s="795"/>
      <c r="K52" s="795"/>
      <c r="L52" s="795"/>
      <c r="M52" s="795"/>
    </row>
    <row r="53" spans="2:13" s="794" customFormat="1" ht="30" customHeight="1">
      <c r="B53" s="790"/>
      <c r="C53" s="843" t="s">
        <v>98</v>
      </c>
      <c r="D53" s="796"/>
      <c r="E53" s="799"/>
      <c r="F53" s="799"/>
      <c r="G53" s="797" t="str">
        <f>IF(ROUND('FC-4_PASIVO'!G72-'FC-10_DEUDAS'!R107,2)=0,"Ok","Mal, revisa datos en FC-4 Pasivo y FC-10")</f>
        <v>Ok</v>
      </c>
      <c r="H53" s="793"/>
      <c r="J53" s="795"/>
      <c r="K53" s="795"/>
      <c r="L53" s="795"/>
      <c r="M53" s="795"/>
    </row>
    <row r="54" spans="2:13" s="794" customFormat="1" ht="30" customHeight="1">
      <c r="B54" s="790"/>
      <c r="C54" s="843" t="s">
        <v>201</v>
      </c>
      <c r="D54" s="796"/>
      <c r="E54" s="799"/>
      <c r="F54" s="799"/>
      <c r="G54" s="797" t="str">
        <f>IF(ROUND('FC-10_DEUDAS'!Q43-'FC-10_DEUDAS'!R43-'FC-10_DEUDAS'!S43,2)=0,"Ok","Mal, revisa datos, fila inicial 43 en FC-10")</f>
        <v>Ok</v>
      </c>
      <c r="H54" s="793"/>
      <c r="J54" s="795"/>
      <c r="K54" s="795"/>
      <c r="L54" s="795">
        <f>IF(G54="Ok",0,1)</f>
        <v>0</v>
      </c>
      <c r="M54" s="795">
        <f>SUM(J54:L54)</f>
        <v>0</v>
      </c>
    </row>
    <row r="55" spans="2:13" s="794" customFormat="1" ht="30" customHeight="1">
      <c r="B55" s="790"/>
      <c r="C55" s="843" t="s">
        <v>202</v>
      </c>
      <c r="D55" s="1117"/>
      <c r="E55" s="1118"/>
      <c r="F55" s="1118"/>
      <c r="G55" s="797" t="str">
        <f>IF(ROUND('FC-10_DEUDAS'!Q75-'FC-10_DEUDAS'!R75-'FC-10_DEUDAS'!S75,2)=0,"Ok","Mal, revisa datos, fila inicial 75 en FC-10")</f>
        <v>Ok</v>
      </c>
      <c r="H55" s="793"/>
      <c r="J55" s="795"/>
      <c r="K55" s="795"/>
      <c r="L55" s="795"/>
      <c r="M55" s="795"/>
    </row>
    <row r="56" spans="2:13" s="794" customFormat="1" ht="30" customHeight="1">
      <c r="B56" s="790"/>
      <c r="C56" s="843" t="s">
        <v>203</v>
      </c>
      <c r="D56" s="1117"/>
      <c r="E56" s="1118"/>
      <c r="F56" s="1118"/>
      <c r="G56" s="797" t="str">
        <f>IF(ROUND('FC-10_DEUDAS'!Q107-'FC-10_DEUDAS'!R107-'FC-10_DEUDAS'!S107,2)=0,"Ok","Mal, revisa datos, fila inicial 107 en FC-10")</f>
        <v>Ok</v>
      </c>
      <c r="H56" s="793"/>
      <c r="J56" s="795"/>
      <c r="K56" s="795"/>
      <c r="L56" s="795"/>
      <c r="M56" s="795"/>
    </row>
    <row r="57" spans="2:13" s="794" customFormat="1" ht="30" customHeight="1">
      <c r="B57" s="790"/>
      <c r="C57" s="1242" t="s">
        <v>192</v>
      </c>
      <c r="D57" s="1117"/>
      <c r="E57" s="1118"/>
      <c r="F57" s="797" t="str">
        <f>IF(ROUND('FC-4_PASIVO'!F44-'FC-16_1_ INF_ADIC_ESTAB_PRESUP'!E19,2)=0,"Ok","Mal, revisa dato en FC-4_PASIVO y FC-16_1")</f>
        <v>Ok</v>
      </c>
      <c r="G57" s="797" t="str">
        <f>IF(ROUND('FC-4_PASIVO'!G44-'FC-16_1_ INF_ADIC_ESTAB_PRESUP'!J19,2)=0,"Ok","Mal, revisa dato en FC-4_PASIVO y FC-16_1")</f>
        <v>Ok</v>
      </c>
      <c r="H57" s="793"/>
      <c r="J57" s="795"/>
      <c r="K57" s="795"/>
      <c r="L57" s="795"/>
      <c r="M57" s="795"/>
    </row>
    <row r="58" spans="2:13" s="794" customFormat="1" ht="30" customHeight="1">
      <c r="B58" s="790"/>
      <c r="C58" s="1242" t="s">
        <v>193</v>
      </c>
      <c r="D58" s="1117"/>
      <c r="E58" s="1118"/>
      <c r="F58" s="797" t="str">
        <f>IF(ROUND('FC-4_PASIVO'!F63-'FC-16_1_ INF_ADIC_ESTAB_PRESUP'!E28,2)=0,"Ok","Mal, revisa dato en FC-4_PASIVO y FC-16_1")</f>
        <v>Ok</v>
      </c>
      <c r="G58" s="797" t="str">
        <f>IF(ROUND('FC-4_PASIVO'!G63-'FC-16_1_ INF_ADIC_ESTAB_PRESUP'!J28,2)=0,"Ok","Mal, revisa dato en FC-4_PASIVO y FC-16_1")</f>
        <v>Ok</v>
      </c>
      <c r="H58" s="793"/>
      <c r="J58" s="795"/>
      <c r="K58" s="795"/>
      <c r="L58" s="795"/>
      <c r="M58" s="795"/>
    </row>
    <row r="59" spans="2:13" s="794" customFormat="1" ht="30" customHeight="1">
      <c r="B59" s="790"/>
      <c r="C59" s="805" t="s">
        <v>933</v>
      </c>
      <c r="D59" s="806"/>
      <c r="E59" s="807"/>
      <c r="F59" s="807"/>
      <c r="G59" s="808" t="str">
        <f>IF(ROUND(-'FC-3_CPyG'!G30-'FC-13_PERSONAL'!F31,2)=0,"Ok","Mal, revísa dato en FC-3 CPyG y FC-13")</f>
        <v>Ok</v>
      </c>
      <c r="H59" s="793"/>
      <c r="J59" s="795"/>
      <c r="K59" s="795"/>
      <c r="L59" s="795">
        <f>IF(G59="Ok",0,1)</f>
        <v>0</v>
      </c>
      <c r="M59" s="795">
        <f>SUM(J59:L59)</f>
        <v>0</v>
      </c>
    </row>
    <row r="60" spans="2:13" ht="30" customHeight="1">
      <c r="B60" s="329"/>
      <c r="C60" s="326"/>
      <c r="D60" s="326"/>
      <c r="E60" s="326"/>
      <c r="F60" s="326"/>
      <c r="G60" s="326"/>
      <c r="H60" s="330"/>
      <c r="J60" s="724"/>
      <c r="K60" s="724"/>
      <c r="L60" s="724"/>
      <c r="M60" s="724"/>
    </row>
    <row r="61" spans="2:13" ht="30" customHeight="1">
      <c r="B61" s="329"/>
      <c r="C61" s="885" t="s">
        <v>81</v>
      </c>
      <c r="D61" s="809"/>
      <c r="E61" s="810"/>
      <c r="F61" s="810"/>
      <c r="G61" s="811" t="str">
        <f>IF(ROUND('FC-3_CPyG'!G84-'_FC-90_DETALLE'!E168,2)=0,"Ok","Mal, revisa resultado en F-3 y FC-92")</f>
        <v>Ok</v>
      </c>
      <c r="H61" s="330"/>
      <c r="J61" s="724"/>
      <c r="K61" s="724"/>
      <c r="L61" s="724">
        <f>IF(G61="Ok",0,1)</f>
        <v>0</v>
      </c>
      <c r="M61" s="724">
        <f>SUM(J61:L61)</f>
        <v>0</v>
      </c>
    </row>
    <row r="62" spans="2:8" ht="22.5" customHeight="1" thickBot="1">
      <c r="B62" s="333"/>
      <c r="C62" s="334"/>
      <c r="D62" s="334"/>
      <c r="E62" s="334"/>
      <c r="F62" s="335"/>
      <c r="G62" s="334"/>
      <c r="H62" s="336"/>
    </row>
    <row r="63" ht="22.5" customHeight="1">
      <c r="F63" s="337"/>
    </row>
    <row r="64" spans="3:7" s="41" customFormat="1" ht="12.75">
      <c r="C64" s="36" t="s">
        <v>286</v>
      </c>
      <c r="F64" s="42"/>
      <c r="G64" s="40"/>
    </row>
    <row r="65" spans="3:6" s="41" customFormat="1" ht="12.75">
      <c r="C65" s="37" t="s">
        <v>287</v>
      </c>
      <c r="F65" s="42"/>
    </row>
    <row r="66" spans="3:6" s="41" customFormat="1" ht="12.75">
      <c r="C66" s="37" t="s">
        <v>288</v>
      </c>
      <c r="F66" s="42"/>
    </row>
    <row r="67" spans="3:6" s="41" customFormat="1" ht="12.75">
      <c r="C67" s="37" t="s">
        <v>289</v>
      </c>
      <c r="F67" s="42"/>
    </row>
    <row r="68" spans="3:6" s="41" customFormat="1" ht="12.75">
      <c r="C68" s="37" t="s">
        <v>290</v>
      </c>
      <c r="F68" s="42"/>
    </row>
    <row r="69" ht="22.5" customHeight="1">
      <c r="F69" s="337"/>
    </row>
    <row r="70" ht="22.5" customHeight="1">
      <c r="F70" s="337"/>
    </row>
    <row r="71" ht="22.5" customHeight="1">
      <c r="F71" s="337"/>
    </row>
    <row r="72" ht="22.5" customHeight="1">
      <c r="F72" s="337"/>
    </row>
    <row r="73" ht="22.5" customHeight="1">
      <c r="F73" s="337"/>
    </row>
    <row r="74" ht="22.5" customHeight="1">
      <c r="F74" s="337"/>
    </row>
    <row r="75" ht="22.5" customHeight="1">
      <c r="F75" s="337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2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="70" zoomScaleNormal="70" zoomScalePageLayoutView="0" workbookViewId="0" topLeftCell="A1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5546875" style="94" customWidth="1"/>
    <col min="4" max="4" width="99.5546875" style="94" customWidth="1"/>
    <col min="5" max="7" width="17.6640625" style="95" customWidth="1"/>
    <col min="8" max="8" width="3.3359375" style="94" customWidth="1"/>
    <col min="9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23" ht="9" customHeight="1">
      <c r="B5" s="96"/>
      <c r="C5" s="97"/>
      <c r="D5" s="97"/>
      <c r="E5" s="98"/>
      <c r="F5" s="98"/>
      <c r="G5" s="98"/>
      <c r="H5" s="99"/>
      <c r="J5" s="390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2"/>
    </row>
    <row r="6" spans="2:23" ht="30" customHeight="1">
      <c r="B6" s="100"/>
      <c r="C6" s="64" t="s">
        <v>216</v>
      </c>
      <c r="D6" s="101"/>
      <c r="E6" s="102"/>
      <c r="F6" s="102"/>
      <c r="G6" s="1285">
        <f>ejercicio</f>
        <v>2020</v>
      </c>
      <c r="H6" s="103"/>
      <c r="J6" s="393"/>
      <c r="K6" s="394" t="s">
        <v>906</v>
      </c>
      <c r="L6" s="394"/>
      <c r="M6" s="394"/>
      <c r="N6" s="394"/>
      <c r="O6" s="395"/>
      <c r="P6" s="395"/>
      <c r="Q6" s="395"/>
      <c r="R6" s="395"/>
      <c r="S6" s="395"/>
      <c r="T6" s="395"/>
      <c r="U6" s="395"/>
      <c r="V6" s="395"/>
      <c r="W6" s="396"/>
    </row>
    <row r="7" spans="2:23" ht="30" customHeight="1">
      <c r="B7" s="100"/>
      <c r="C7" s="64" t="s">
        <v>217</v>
      </c>
      <c r="D7" s="101"/>
      <c r="E7" s="102"/>
      <c r="F7" s="102"/>
      <c r="G7" s="1285"/>
      <c r="H7" s="103"/>
      <c r="J7" s="393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6"/>
    </row>
    <row r="8" spans="2:23" ht="30" customHeight="1">
      <c r="B8" s="100"/>
      <c r="C8" s="104"/>
      <c r="D8" s="101"/>
      <c r="E8" s="102"/>
      <c r="F8" s="102"/>
      <c r="G8" s="105"/>
      <c r="H8" s="103"/>
      <c r="J8" s="393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6"/>
    </row>
    <row r="9" spans="2:23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80"/>
      <c r="J9" s="393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6"/>
    </row>
    <row r="10" spans="2:23" ht="6.75" customHeight="1">
      <c r="B10" s="100"/>
      <c r="C10" s="101"/>
      <c r="D10" s="101"/>
      <c r="E10" s="102"/>
      <c r="F10" s="102"/>
      <c r="G10" s="102"/>
      <c r="H10" s="103"/>
      <c r="J10" s="393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6"/>
    </row>
    <row r="11" spans="2:23" s="112" customFormat="1" ht="30" customHeight="1">
      <c r="B11" s="108"/>
      <c r="C11" s="109" t="s">
        <v>159</v>
      </c>
      <c r="D11" s="109"/>
      <c r="E11" s="110"/>
      <c r="F11" s="110"/>
      <c r="G11" s="110"/>
      <c r="H11" s="111"/>
      <c r="J11" s="393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6"/>
    </row>
    <row r="12" spans="2:23" s="112" customFormat="1" ht="30" customHeight="1">
      <c r="B12" s="108"/>
      <c r="C12" s="1369"/>
      <c r="D12" s="1369"/>
      <c r="E12" s="93"/>
      <c r="F12" s="93"/>
      <c r="G12" s="93"/>
      <c r="H12" s="111"/>
      <c r="J12" s="393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6"/>
    </row>
    <row r="13" spans="2:23" ht="28.5" customHeight="1">
      <c r="B13" s="114"/>
      <c r="C13" s="63" t="s">
        <v>160</v>
      </c>
      <c r="D13" s="147"/>
      <c r="E13" s="93"/>
      <c r="F13" s="93"/>
      <c r="G13" s="246"/>
      <c r="H13" s="103"/>
      <c r="J13" s="393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6"/>
    </row>
    <row r="14" spans="2:23" ht="9" customHeight="1">
      <c r="B14" s="114"/>
      <c r="C14" s="147"/>
      <c r="D14" s="147"/>
      <c r="E14" s="93"/>
      <c r="F14" s="93"/>
      <c r="G14" s="93"/>
      <c r="H14" s="103"/>
      <c r="J14" s="393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6"/>
    </row>
    <row r="15" spans="2:23" s="231" customFormat="1" ht="22.5" customHeight="1">
      <c r="B15" s="232"/>
      <c r="C15" s="189"/>
      <c r="D15" s="233"/>
      <c r="E15" s="189" t="s">
        <v>699</v>
      </c>
      <c r="F15" s="189" t="s">
        <v>791</v>
      </c>
      <c r="G15" s="189"/>
      <c r="H15" s="234"/>
      <c r="J15" s="393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6"/>
    </row>
    <row r="16" spans="2:23" s="231" customFormat="1" ht="24" customHeight="1">
      <c r="B16" s="232"/>
      <c r="C16" s="237" t="s">
        <v>664</v>
      </c>
      <c r="D16" s="238" t="s">
        <v>672</v>
      </c>
      <c r="E16" s="237" t="s">
        <v>161</v>
      </c>
      <c r="F16" s="237">
        <f>ejercicio</f>
        <v>2020</v>
      </c>
      <c r="G16" s="237" t="s">
        <v>792</v>
      </c>
      <c r="H16" s="234"/>
      <c r="J16" s="393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</row>
    <row r="17" spans="2:23" ht="22.5" customHeight="1">
      <c r="B17" s="114"/>
      <c r="C17" s="464"/>
      <c r="D17" s="461"/>
      <c r="E17" s="457"/>
      <c r="F17" s="457"/>
      <c r="G17" s="544"/>
      <c r="H17" s="103"/>
      <c r="J17" s="393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6"/>
    </row>
    <row r="18" spans="2:23" ht="22.5" customHeight="1">
      <c r="B18" s="114"/>
      <c r="C18" s="464"/>
      <c r="D18" s="461"/>
      <c r="E18" s="457"/>
      <c r="F18" s="457"/>
      <c r="G18" s="545"/>
      <c r="H18" s="103"/>
      <c r="J18" s="393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6"/>
    </row>
    <row r="19" spans="2:23" ht="22.5" customHeight="1">
      <c r="B19" s="114"/>
      <c r="C19" s="464"/>
      <c r="D19" s="461"/>
      <c r="E19" s="457"/>
      <c r="F19" s="457"/>
      <c r="G19" s="545"/>
      <c r="H19" s="103"/>
      <c r="J19" s="393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6"/>
    </row>
    <row r="20" spans="2:23" ht="22.5" customHeight="1">
      <c r="B20" s="114"/>
      <c r="C20" s="464"/>
      <c r="D20" s="461"/>
      <c r="E20" s="457"/>
      <c r="F20" s="457"/>
      <c r="G20" s="545"/>
      <c r="H20" s="103"/>
      <c r="J20" s="393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6"/>
    </row>
    <row r="21" spans="2:23" ht="22.5" customHeight="1">
      <c r="B21" s="114"/>
      <c r="C21" s="464"/>
      <c r="D21" s="461"/>
      <c r="E21" s="457"/>
      <c r="F21" s="457"/>
      <c r="G21" s="545"/>
      <c r="H21" s="103"/>
      <c r="J21" s="393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6"/>
    </row>
    <row r="22" spans="2:23" ht="22.5" customHeight="1">
      <c r="B22" s="114"/>
      <c r="C22" s="464"/>
      <c r="D22" s="461"/>
      <c r="E22" s="457"/>
      <c r="F22" s="457"/>
      <c r="G22" s="545"/>
      <c r="H22" s="103"/>
      <c r="J22" s="393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6"/>
    </row>
    <row r="23" spans="2:23" ht="22.5" customHeight="1">
      <c r="B23" s="114"/>
      <c r="C23" s="464"/>
      <c r="D23" s="461"/>
      <c r="E23" s="457"/>
      <c r="F23" s="457"/>
      <c r="G23" s="545"/>
      <c r="H23" s="103"/>
      <c r="J23" s="393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6"/>
    </row>
    <row r="24" spans="2:23" ht="22.5" customHeight="1">
      <c r="B24" s="114"/>
      <c r="C24" s="464"/>
      <c r="D24" s="461"/>
      <c r="E24" s="457"/>
      <c r="F24" s="457"/>
      <c r="G24" s="545"/>
      <c r="H24" s="103"/>
      <c r="J24" s="393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6"/>
    </row>
    <row r="25" spans="2:23" ht="22.5" customHeight="1">
      <c r="B25" s="114"/>
      <c r="C25" s="464"/>
      <c r="D25" s="461"/>
      <c r="E25" s="457"/>
      <c r="F25" s="457"/>
      <c r="G25" s="545"/>
      <c r="H25" s="103"/>
      <c r="J25" s="393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</row>
    <row r="26" spans="2:23" ht="22.5" customHeight="1">
      <c r="B26" s="114"/>
      <c r="C26" s="464"/>
      <c r="D26" s="461"/>
      <c r="E26" s="457"/>
      <c r="F26" s="457"/>
      <c r="G26" s="545"/>
      <c r="H26" s="103"/>
      <c r="J26" s="393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6"/>
    </row>
    <row r="27" spans="2:23" ht="22.5" customHeight="1">
      <c r="B27" s="114"/>
      <c r="C27" s="464"/>
      <c r="D27" s="461"/>
      <c r="E27" s="457"/>
      <c r="F27" s="457"/>
      <c r="G27" s="545"/>
      <c r="H27" s="103"/>
      <c r="J27" s="393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6"/>
    </row>
    <row r="28" spans="2:23" ht="22.5" customHeight="1">
      <c r="B28" s="114"/>
      <c r="C28" s="464"/>
      <c r="D28" s="461"/>
      <c r="E28" s="457"/>
      <c r="F28" s="457"/>
      <c r="G28" s="545"/>
      <c r="H28" s="103"/>
      <c r="J28" s="393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6"/>
    </row>
    <row r="29" spans="2:23" ht="22.5" customHeight="1">
      <c r="B29" s="114"/>
      <c r="C29" s="464"/>
      <c r="D29" s="461"/>
      <c r="E29" s="457"/>
      <c r="F29" s="457"/>
      <c r="G29" s="545"/>
      <c r="H29" s="103"/>
      <c r="J29" s="393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6"/>
    </row>
    <row r="30" spans="2:23" ht="22.5" customHeight="1">
      <c r="B30" s="114"/>
      <c r="C30" s="464"/>
      <c r="D30" s="461"/>
      <c r="E30" s="457"/>
      <c r="F30" s="457"/>
      <c r="G30" s="545"/>
      <c r="H30" s="103"/>
      <c r="J30" s="393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6"/>
    </row>
    <row r="31" spans="2:23" ht="22.5" customHeight="1">
      <c r="B31" s="114"/>
      <c r="C31" s="465"/>
      <c r="D31" s="462"/>
      <c r="E31" s="458"/>
      <c r="F31" s="458"/>
      <c r="G31" s="546"/>
      <c r="H31" s="103"/>
      <c r="J31" s="393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6"/>
    </row>
    <row r="32" spans="2:23" ht="22.5" customHeight="1">
      <c r="B32" s="114"/>
      <c r="C32" s="466"/>
      <c r="D32" s="463"/>
      <c r="E32" s="460"/>
      <c r="F32" s="460"/>
      <c r="G32" s="547"/>
      <c r="H32" s="103"/>
      <c r="J32" s="393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6"/>
    </row>
    <row r="33" spans="2:23" ht="22.5" customHeight="1" thickBot="1">
      <c r="B33" s="114"/>
      <c r="C33" s="206"/>
      <c r="D33" s="210" t="s">
        <v>610</v>
      </c>
      <c r="E33" s="124">
        <f>SUM(E17:E32)</f>
        <v>0</v>
      </c>
      <c r="F33" s="124">
        <f>SUM(F17:F32)</f>
        <v>0</v>
      </c>
      <c r="G33" s="93"/>
      <c r="H33" s="103"/>
      <c r="J33" s="393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6"/>
    </row>
    <row r="34" spans="2:23" ht="22.5" customHeight="1">
      <c r="B34" s="114"/>
      <c r="C34" s="206"/>
      <c r="D34" s="206"/>
      <c r="E34" s="207"/>
      <c r="F34" s="207"/>
      <c r="G34" s="93"/>
      <c r="H34" s="103"/>
      <c r="J34" s="393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6"/>
    </row>
    <row r="35" spans="2:23" ht="22.5" customHeight="1" thickBot="1">
      <c r="B35" s="118"/>
      <c r="C35" s="1299"/>
      <c r="D35" s="1299"/>
      <c r="E35" s="52"/>
      <c r="F35" s="52"/>
      <c r="G35" s="119"/>
      <c r="H35" s="120"/>
      <c r="J35" s="387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9"/>
    </row>
    <row r="36" spans="3:9" ht="22.5" customHeight="1">
      <c r="C36" s="101"/>
      <c r="D36" s="101"/>
      <c r="E36" s="102"/>
      <c r="F36" s="102"/>
      <c r="G36" s="102"/>
      <c r="I36" s="94" t="s">
        <v>83</v>
      </c>
    </row>
    <row r="37" spans="3:7" ht="12.75">
      <c r="C37" s="121" t="s">
        <v>286</v>
      </c>
      <c r="D37" s="101"/>
      <c r="E37" s="102"/>
      <c r="F37" s="102"/>
      <c r="G37" s="92" t="s">
        <v>740</v>
      </c>
    </row>
    <row r="38" spans="3:7" ht="12.75">
      <c r="C38" s="122" t="s">
        <v>287</v>
      </c>
      <c r="D38" s="101"/>
      <c r="E38" s="102"/>
      <c r="F38" s="102"/>
      <c r="G38" s="102"/>
    </row>
    <row r="39" spans="3:7" ht="12.75">
      <c r="C39" s="122" t="s">
        <v>288</v>
      </c>
      <c r="D39" s="101"/>
      <c r="E39" s="102"/>
      <c r="F39" s="102"/>
      <c r="G39" s="102"/>
    </row>
    <row r="40" spans="3:7" ht="12.75">
      <c r="C40" s="122" t="s">
        <v>289</v>
      </c>
      <c r="D40" s="101"/>
      <c r="E40" s="102"/>
      <c r="F40" s="102"/>
      <c r="G40" s="102"/>
    </row>
    <row r="41" spans="3:7" ht="12.75">
      <c r="C41" s="122" t="s">
        <v>290</v>
      </c>
      <c r="D41" s="101"/>
      <c r="E41" s="102"/>
      <c r="F41" s="102"/>
      <c r="G41" s="102"/>
    </row>
    <row r="42" spans="3:7" ht="22.5" customHeight="1">
      <c r="C42" s="101"/>
      <c r="D42" s="101"/>
      <c r="E42" s="102"/>
      <c r="F42" s="102"/>
      <c r="G42" s="102"/>
    </row>
    <row r="43" spans="3:7" ht="22.5" customHeight="1">
      <c r="C43" s="101"/>
      <c r="D43" s="101"/>
      <c r="E43" s="102"/>
      <c r="F43" s="102"/>
      <c r="G43" s="102"/>
    </row>
    <row r="44" spans="3:7" ht="22.5" customHeight="1">
      <c r="C44" s="101"/>
      <c r="D44" s="101"/>
      <c r="E44" s="102"/>
      <c r="F44" s="102"/>
      <c r="G44" s="102"/>
    </row>
    <row r="45" spans="3:7" ht="22.5" customHeight="1">
      <c r="C45" s="101"/>
      <c r="D45" s="101"/>
      <c r="E45" s="102"/>
      <c r="F45" s="102"/>
      <c r="G45" s="102"/>
    </row>
    <row r="46" spans="5:7" ht="22.5" customHeight="1">
      <c r="E46" s="102"/>
      <c r="F46" s="102"/>
      <c r="G46" s="102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5">
      <selection activeCell="D35" sqref="D35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3359375" style="94" customWidth="1"/>
    <col min="4" max="4" width="67.99609375" style="94" customWidth="1"/>
    <col min="5" max="5" width="17.6640625" style="95" customWidth="1"/>
    <col min="6" max="6" width="44.6640625" style="95" customWidth="1"/>
    <col min="7" max="7" width="10.6640625" style="95" customWidth="1"/>
    <col min="8" max="8" width="3.3359375" style="94" customWidth="1"/>
    <col min="9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23" ht="9" customHeight="1">
      <c r="B5" s="96"/>
      <c r="C5" s="97"/>
      <c r="D5" s="97"/>
      <c r="E5" s="98"/>
      <c r="F5" s="98"/>
      <c r="G5" s="98"/>
      <c r="H5" s="99"/>
      <c r="J5" s="390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2"/>
    </row>
    <row r="6" spans="2:23" ht="30" customHeight="1">
      <c r="B6" s="100"/>
      <c r="C6" s="64" t="s">
        <v>216</v>
      </c>
      <c r="D6" s="101"/>
      <c r="E6" s="102"/>
      <c r="F6" s="102"/>
      <c r="G6" s="1285">
        <f>ejercicio</f>
        <v>2020</v>
      </c>
      <c r="H6" s="103"/>
      <c r="J6" s="393"/>
      <c r="K6" s="394" t="s">
        <v>906</v>
      </c>
      <c r="L6" s="394"/>
      <c r="M6" s="394"/>
      <c r="N6" s="394"/>
      <c r="O6" s="395"/>
      <c r="P6" s="395"/>
      <c r="Q6" s="395"/>
      <c r="R6" s="395"/>
      <c r="S6" s="395"/>
      <c r="T6" s="395"/>
      <c r="U6" s="395"/>
      <c r="V6" s="395"/>
      <c r="W6" s="396"/>
    </row>
    <row r="7" spans="2:23" ht="30" customHeight="1">
      <c r="B7" s="100"/>
      <c r="C7" s="64" t="s">
        <v>217</v>
      </c>
      <c r="D7" s="101"/>
      <c r="E7" s="102"/>
      <c r="F7" s="102"/>
      <c r="G7" s="1285"/>
      <c r="H7" s="103"/>
      <c r="J7" s="393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6"/>
    </row>
    <row r="8" spans="2:23" ht="30" customHeight="1">
      <c r="B8" s="100"/>
      <c r="C8" s="104"/>
      <c r="D8" s="101"/>
      <c r="E8" s="102"/>
      <c r="F8" s="102"/>
      <c r="G8" s="105"/>
      <c r="H8" s="103"/>
      <c r="J8" s="393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6"/>
    </row>
    <row r="9" spans="2:23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300"/>
      <c r="G9" s="1300"/>
      <c r="H9" s="180"/>
      <c r="J9" s="393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6"/>
    </row>
    <row r="10" spans="2:23" ht="6.75" customHeight="1">
      <c r="B10" s="100"/>
      <c r="C10" s="101"/>
      <c r="D10" s="101"/>
      <c r="E10" s="102"/>
      <c r="F10" s="102"/>
      <c r="G10" s="102"/>
      <c r="H10" s="103"/>
      <c r="J10" s="393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6"/>
    </row>
    <row r="11" spans="2:23" s="112" customFormat="1" ht="30" customHeight="1">
      <c r="B11" s="108"/>
      <c r="C11" s="109" t="s">
        <v>797</v>
      </c>
      <c r="D11" s="109"/>
      <c r="E11" s="110"/>
      <c r="F11" s="110"/>
      <c r="G11" s="110"/>
      <c r="H11" s="111"/>
      <c r="J11" s="393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6"/>
    </row>
    <row r="12" spans="2:23" s="112" customFormat="1" ht="30" customHeight="1">
      <c r="B12" s="108"/>
      <c r="C12" s="1369"/>
      <c r="D12" s="1369"/>
      <c r="E12" s="93"/>
      <c r="F12" s="93"/>
      <c r="G12" s="93"/>
      <c r="H12" s="111"/>
      <c r="J12" s="393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6"/>
    </row>
    <row r="13" spans="2:23" ht="28.5" customHeight="1">
      <c r="B13" s="114"/>
      <c r="C13" s="63"/>
      <c r="D13" s="147"/>
      <c r="E13" s="93"/>
      <c r="F13" s="93"/>
      <c r="G13" s="246"/>
      <c r="H13" s="103"/>
      <c r="J13" s="393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6"/>
    </row>
    <row r="14" spans="2:23" ht="9" customHeight="1">
      <c r="B14" s="114"/>
      <c r="C14" s="147"/>
      <c r="D14" s="147"/>
      <c r="E14" s="93"/>
      <c r="F14" s="93"/>
      <c r="G14" s="93"/>
      <c r="H14" s="103"/>
      <c r="J14" s="393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6"/>
    </row>
    <row r="15" spans="2:23" s="231" customFormat="1" ht="22.5" customHeight="1">
      <c r="B15" s="232"/>
      <c r="C15" s="249"/>
      <c r="D15" s="252"/>
      <c r="E15" s="189" t="s">
        <v>793</v>
      </c>
      <c r="F15" s="249"/>
      <c r="G15" s="252"/>
      <c r="H15" s="234"/>
      <c r="J15" s="393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6"/>
    </row>
    <row r="16" spans="2:23" s="231" customFormat="1" ht="22.5" customHeight="1">
      <c r="B16" s="232"/>
      <c r="C16" s="250"/>
      <c r="D16" s="253"/>
      <c r="E16" s="235" t="s">
        <v>794</v>
      </c>
      <c r="F16" s="250"/>
      <c r="G16" s="253"/>
      <c r="H16" s="234"/>
      <c r="J16" s="393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</row>
    <row r="17" spans="2:23" s="231" customFormat="1" ht="22.5" customHeight="1">
      <c r="B17" s="232"/>
      <c r="C17" s="250"/>
      <c r="D17" s="253"/>
      <c r="E17" s="235" t="s">
        <v>795</v>
      </c>
      <c r="F17" s="250"/>
      <c r="G17" s="253"/>
      <c r="H17" s="234"/>
      <c r="J17" s="393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6"/>
    </row>
    <row r="18" spans="2:23" s="231" customFormat="1" ht="24" customHeight="1">
      <c r="B18" s="232"/>
      <c r="C18" s="1392" t="s">
        <v>672</v>
      </c>
      <c r="D18" s="1393"/>
      <c r="E18" s="279">
        <f>ejercicio</f>
        <v>2020</v>
      </c>
      <c r="F18" s="251" t="s">
        <v>796</v>
      </c>
      <c r="G18" s="254"/>
      <c r="H18" s="234"/>
      <c r="J18" s="393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6"/>
    </row>
    <row r="19" spans="2:23" ht="9" customHeight="1">
      <c r="B19" s="114"/>
      <c r="C19" s="63"/>
      <c r="D19" s="147"/>
      <c r="E19" s="93"/>
      <c r="F19" s="93"/>
      <c r="G19" s="246"/>
      <c r="H19" s="103"/>
      <c r="J19" s="393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6"/>
    </row>
    <row r="20" spans="2:23" s="126" customFormat="1" ht="22.5" customHeight="1" thickBot="1">
      <c r="B20" s="158"/>
      <c r="C20" s="1425" t="s">
        <v>798</v>
      </c>
      <c r="D20" s="1426"/>
      <c r="E20" s="261">
        <f>SUM(E21:E30)</f>
        <v>26162803.913999997</v>
      </c>
      <c r="F20" s="1432"/>
      <c r="G20" s="1433"/>
      <c r="H20" s="125"/>
      <c r="J20" s="393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6"/>
    </row>
    <row r="21" spans="2:23" ht="22.5" customHeight="1">
      <c r="B21" s="114"/>
      <c r="C21" s="174" t="s">
        <v>799</v>
      </c>
      <c r="D21" s="255"/>
      <c r="E21" s="549">
        <f>+'FC-3_CPyG'!G16</f>
        <v>20902113.97</v>
      </c>
      <c r="F21" s="1434"/>
      <c r="G21" s="1435"/>
      <c r="H21" s="103"/>
      <c r="J21" s="393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6"/>
    </row>
    <row r="22" spans="2:23" ht="22.5" customHeight="1">
      <c r="B22" s="114"/>
      <c r="C22" s="174" t="s">
        <v>800</v>
      </c>
      <c r="D22" s="255"/>
      <c r="E22" s="549">
        <f>+'FC-3_CPyG'!G21</f>
        <v>518837.584</v>
      </c>
      <c r="F22" s="1436"/>
      <c r="G22" s="1437"/>
      <c r="H22" s="103"/>
      <c r="J22" s="393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6"/>
    </row>
    <row r="23" spans="2:23" ht="22.5" customHeight="1">
      <c r="B23" s="114"/>
      <c r="C23" s="174" t="s">
        <v>801</v>
      </c>
      <c r="D23" s="255"/>
      <c r="E23" s="549">
        <f>+'FC-3_CPyG'!G28</f>
        <v>0</v>
      </c>
      <c r="F23" s="1436"/>
      <c r="G23" s="1437"/>
      <c r="H23" s="103"/>
      <c r="J23" s="393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6"/>
    </row>
    <row r="24" spans="2:23" ht="22.5" customHeight="1">
      <c r="B24" s="114"/>
      <c r="C24" s="174" t="s">
        <v>802</v>
      </c>
      <c r="D24" s="255"/>
      <c r="E24" s="549">
        <f>'FC-9_TRANS_SUBV'!J83</f>
        <v>1042479.82</v>
      </c>
      <c r="F24" s="1436"/>
      <c r="G24" s="1437"/>
      <c r="H24" s="103"/>
      <c r="J24" s="393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6"/>
    </row>
    <row r="25" spans="2:23" ht="22.5" customHeight="1">
      <c r="B25" s="114"/>
      <c r="C25" s="174" t="s">
        <v>803</v>
      </c>
      <c r="D25" s="255"/>
      <c r="E25" s="549">
        <f>+'FC-3_CPyG'!G55+'FC-3_CPyG'!G72+IF('FC-3_CPyG'!G73&gt;0,'FC-3_CPyG'!G73,0)</f>
        <v>408602.74</v>
      </c>
      <c r="F25" s="1436"/>
      <c r="G25" s="1437"/>
      <c r="H25" s="103"/>
      <c r="J25" s="393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</row>
    <row r="26" spans="2:23" ht="22.5" customHeight="1">
      <c r="B26" s="114"/>
      <c r="C26" s="174" t="s">
        <v>804</v>
      </c>
      <c r="D26" s="255"/>
      <c r="E26" s="549">
        <f>+'FC-3_CPyG'!G52</f>
        <v>1910039.69</v>
      </c>
      <c r="F26" s="1436"/>
      <c r="G26" s="1437"/>
      <c r="H26" s="103"/>
      <c r="J26" s="393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6"/>
    </row>
    <row r="27" spans="2:23" ht="22.5" customHeight="1">
      <c r="B27" s="114"/>
      <c r="C27" s="1181" t="s">
        <v>200</v>
      </c>
      <c r="D27" s="255"/>
      <c r="E27" s="1182"/>
      <c r="F27" s="1166" t="s">
        <v>148</v>
      </c>
      <c r="G27" s="443"/>
      <c r="H27" s="103"/>
      <c r="J27" s="393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6"/>
    </row>
    <row r="28" spans="2:23" ht="22.5" customHeight="1">
      <c r="B28" s="114"/>
      <c r="C28" s="174" t="s">
        <v>805</v>
      </c>
      <c r="D28" s="255"/>
      <c r="E28" s="549">
        <f>+'FC-3_1_INF_ADIC_CPyG'!G54</f>
        <v>0</v>
      </c>
      <c r="F28" s="1436"/>
      <c r="G28" s="1437"/>
      <c r="H28" s="103"/>
      <c r="J28" s="393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6"/>
    </row>
    <row r="29" spans="2:23" ht="22.5" customHeight="1">
      <c r="B29" s="114"/>
      <c r="C29" s="781" t="s">
        <v>1120</v>
      </c>
      <c r="D29" s="255"/>
      <c r="E29" s="549">
        <f>'FC-9_TRANS_SUBV'!J99+'FC-9_TRANS_SUBV'!H113</f>
        <v>0</v>
      </c>
      <c r="F29" s="1436"/>
      <c r="G29" s="1437"/>
      <c r="H29" s="103"/>
      <c r="J29" s="393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6"/>
    </row>
    <row r="30" spans="2:23" ht="22.5" customHeight="1">
      <c r="B30" s="114"/>
      <c r="C30" s="152" t="s">
        <v>806</v>
      </c>
      <c r="D30" s="256"/>
      <c r="E30" s="550">
        <f>'FC-9_TRANS_SUBV'!M38</f>
        <v>1380730.1099999999</v>
      </c>
      <c r="F30" s="1438"/>
      <c r="G30" s="1439"/>
      <c r="H30" s="103"/>
      <c r="J30" s="393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6"/>
    </row>
    <row r="31" spans="2:23" ht="9" customHeight="1">
      <c r="B31" s="114"/>
      <c r="C31" s="63"/>
      <c r="D31" s="147"/>
      <c r="E31" s="93"/>
      <c r="F31" s="93"/>
      <c r="G31" s="246"/>
      <c r="H31" s="103"/>
      <c r="J31" s="393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6"/>
    </row>
    <row r="32" spans="2:23" ht="22.5" customHeight="1" thickBot="1">
      <c r="B32" s="114"/>
      <c r="C32" s="1425" t="s">
        <v>807</v>
      </c>
      <c r="D32" s="1426"/>
      <c r="E32" s="261">
        <f>SUM(E33:E44)</f>
        <v>-19399598.00346974</v>
      </c>
      <c r="F32" s="1432"/>
      <c r="G32" s="1433"/>
      <c r="H32" s="103"/>
      <c r="J32" s="393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6"/>
    </row>
    <row r="33" spans="2:23" ht="22.5" customHeight="1">
      <c r="B33" s="114"/>
      <c r="C33" s="174" t="s">
        <v>309</v>
      </c>
      <c r="D33" s="255"/>
      <c r="E33" s="549">
        <f>+'FC-3_CPyG'!G22</f>
        <v>-279858.67000000004</v>
      </c>
      <c r="F33" s="1436"/>
      <c r="G33" s="1437"/>
      <c r="H33" s="103"/>
      <c r="J33" s="393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6"/>
    </row>
    <row r="34" spans="2:23" ht="22.5" customHeight="1">
      <c r="B34" s="114"/>
      <c r="C34" s="174" t="s">
        <v>808</v>
      </c>
      <c r="D34" s="255"/>
      <c r="E34" s="549">
        <f>+'FC-3_CPyG'!G30</f>
        <v>-6581379.720000001</v>
      </c>
      <c r="F34" s="483"/>
      <c r="G34" s="443"/>
      <c r="H34" s="103"/>
      <c r="J34" s="393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6"/>
    </row>
    <row r="35" spans="2:23" ht="22.5" customHeight="1">
      <c r="B35" s="114"/>
      <c r="C35" s="174" t="s">
        <v>324</v>
      </c>
      <c r="D35" s="255"/>
      <c r="E35" s="549">
        <f>'FC-3_CPyG'!G35+'FC-3_CPyG'!G38+'FC-3_CPyG'!G39</f>
        <v>-6609683.08</v>
      </c>
      <c r="F35" s="483"/>
      <c r="G35" s="443"/>
      <c r="H35" s="103"/>
      <c r="J35" s="393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6"/>
    </row>
    <row r="36" spans="2:23" ht="22.5" customHeight="1">
      <c r="B36" s="114"/>
      <c r="C36" s="174" t="s">
        <v>809</v>
      </c>
      <c r="D36" s="255"/>
      <c r="E36" s="549">
        <f>+'FC-3_CPyG'!G60+'FC-3_CPyG'!G61+'FC-3_CPyG'!G71+IF('FC-3_CPyG'!G73&lt;0,'FC-3_CPyG'!G73,0)</f>
        <v>-132228.61</v>
      </c>
      <c r="F36" s="483"/>
      <c r="G36" s="443"/>
      <c r="H36" s="103"/>
      <c r="J36" s="393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6"/>
    </row>
    <row r="37" spans="2:23" ht="22.5" customHeight="1">
      <c r="B37" s="114"/>
      <c r="C37" s="174" t="s">
        <v>810</v>
      </c>
      <c r="D37" s="255"/>
      <c r="E37" s="549">
        <f>-'FC-3_1_INF_ADIC_CPyG'!G78-'FC-3_1_INF_ADIC_CPyG'!G79</f>
        <v>148630.49000000022</v>
      </c>
      <c r="F37" s="483"/>
      <c r="G37" s="443"/>
      <c r="H37" s="103"/>
      <c r="J37" s="393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6"/>
    </row>
    <row r="38" spans="2:23" ht="22.5" customHeight="1">
      <c r="B38" s="114"/>
      <c r="C38" s="174" t="s">
        <v>811</v>
      </c>
      <c r="D38" s="255"/>
      <c r="E38" s="549">
        <f>+'FC-3_CPyG'!G36</f>
        <v>-1034810.66</v>
      </c>
      <c r="F38" s="483"/>
      <c r="G38" s="443"/>
      <c r="H38" s="103"/>
      <c r="J38" s="393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6"/>
    </row>
    <row r="39" spans="2:23" ht="22.5" customHeight="1">
      <c r="B39" s="114"/>
      <c r="C39" s="174" t="s">
        <v>812</v>
      </c>
      <c r="D39" s="255"/>
      <c r="E39" s="549">
        <f>+'FC-3_1_INF_ADIC_CPyG'!G63</f>
        <v>0</v>
      </c>
      <c r="F39" s="483"/>
      <c r="G39" s="443"/>
      <c r="H39" s="103"/>
      <c r="J39" s="393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6"/>
    </row>
    <row r="40" spans="2:23" ht="22.5" customHeight="1">
      <c r="B40" s="114"/>
      <c r="C40" s="174" t="s">
        <v>813</v>
      </c>
      <c r="D40" s="255"/>
      <c r="E40" s="1180">
        <f>-'FC-7_INF'!F31-'FC-7_INF'!H31+'FC-7_INF'!N31-'FC-7_INF'!F33-'FC-7_INF'!H33-'FC-7_INF'!K33</f>
        <v>-4909367.75346974</v>
      </c>
      <c r="F40" s="483"/>
      <c r="G40" s="443"/>
      <c r="H40" s="103"/>
      <c r="J40" s="393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</row>
    <row r="41" spans="2:23" ht="22.5" customHeight="1">
      <c r="B41" s="114"/>
      <c r="C41" s="548" t="s">
        <v>814</v>
      </c>
      <c r="D41" s="255"/>
      <c r="E41" s="1180">
        <f>+'FC-3_CPyG'!G20</f>
        <v>-900</v>
      </c>
      <c r="F41" s="483"/>
      <c r="G41" s="443"/>
      <c r="H41" s="103"/>
      <c r="J41" s="393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6"/>
    </row>
    <row r="42" spans="2:23" ht="22.5" customHeight="1">
      <c r="B42" s="114"/>
      <c r="C42" s="1181" t="s">
        <v>195</v>
      </c>
      <c r="D42" s="255"/>
      <c r="E42" s="1180">
        <f>'FC-16_1_ INF_ADIC_ESTAB_PRESUP'!G19+'FC-16_1_ INF_ADIC_ESTAB_PRESUP'!G28</f>
        <v>0</v>
      </c>
      <c r="F42" s="1166"/>
      <c r="G42" s="443"/>
      <c r="H42" s="103"/>
      <c r="J42" s="393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6"/>
    </row>
    <row r="43" spans="2:23" ht="22.5" customHeight="1">
      <c r="B43" s="114"/>
      <c r="C43" s="1181" t="s">
        <v>196</v>
      </c>
      <c r="D43" s="255"/>
      <c r="E43" s="1182"/>
      <c r="F43" s="1436" t="s">
        <v>148</v>
      </c>
      <c r="G43" s="1437" t="s">
        <v>148</v>
      </c>
      <c r="H43" s="103"/>
      <c r="J43" s="393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6"/>
    </row>
    <row r="44" spans="2:23" ht="22.5" customHeight="1">
      <c r="B44" s="114"/>
      <c r="C44" s="1183" t="s">
        <v>197</v>
      </c>
      <c r="D44" s="256"/>
      <c r="E44" s="1184">
        <f>'FC-3_1_INF_ADIC_CPyG'!G97</f>
        <v>0</v>
      </c>
      <c r="F44" s="1438"/>
      <c r="G44" s="1439"/>
      <c r="H44" s="103"/>
      <c r="J44" s="393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6"/>
    </row>
    <row r="45" spans="2:23" ht="9" customHeight="1">
      <c r="B45" s="114"/>
      <c r="C45" s="63"/>
      <c r="D45" s="147"/>
      <c r="E45" s="93"/>
      <c r="F45" s="93"/>
      <c r="G45" s="246"/>
      <c r="H45" s="103"/>
      <c r="J45" s="393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6"/>
    </row>
    <row r="46" spans="2:23" ht="22.5" customHeight="1" thickBot="1">
      <c r="B46" s="114"/>
      <c r="C46" s="154" t="s">
        <v>815</v>
      </c>
      <c r="D46" s="281"/>
      <c r="E46" s="124">
        <f>+E20+E32</f>
        <v>6763205.910530258</v>
      </c>
      <c r="F46" s="93"/>
      <c r="G46" s="93"/>
      <c r="H46" s="103"/>
      <c r="J46" s="393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6"/>
    </row>
    <row r="47" spans="2:23" ht="22.5" customHeight="1">
      <c r="B47" s="114"/>
      <c r="C47" s="206"/>
      <c r="D47" s="206"/>
      <c r="E47" s="207"/>
      <c r="F47" s="207"/>
      <c r="G47" s="93"/>
      <c r="H47" s="103"/>
      <c r="J47" s="393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6"/>
    </row>
    <row r="48" spans="2:23" ht="22.5" customHeight="1">
      <c r="B48" s="114"/>
      <c r="C48" s="164" t="s">
        <v>621</v>
      </c>
      <c r="D48" s="206"/>
      <c r="E48" s="207"/>
      <c r="F48" s="207"/>
      <c r="G48" s="93"/>
      <c r="H48" s="103"/>
      <c r="J48" s="393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6"/>
    </row>
    <row r="49" spans="2:23" ht="22.5" customHeight="1">
      <c r="B49" s="114"/>
      <c r="C49" s="162" t="s">
        <v>936</v>
      </c>
      <c r="D49" s="206"/>
      <c r="E49" s="207"/>
      <c r="F49" s="207"/>
      <c r="G49" s="93"/>
      <c r="H49" s="103"/>
      <c r="J49" s="393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6"/>
    </row>
    <row r="50" spans="2:23" ht="22.5" customHeight="1">
      <c r="B50" s="114"/>
      <c r="C50" s="162" t="s">
        <v>198</v>
      </c>
      <c r="D50" s="206"/>
      <c r="E50" s="207"/>
      <c r="F50" s="207"/>
      <c r="G50" s="93"/>
      <c r="H50" s="103"/>
      <c r="J50" s="393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6"/>
    </row>
    <row r="51" spans="2:23" ht="22.5" customHeight="1">
      <c r="B51" s="114"/>
      <c r="C51" s="162" t="s">
        <v>199</v>
      </c>
      <c r="D51" s="206"/>
      <c r="E51" s="207"/>
      <c r="F51" s="207"/>
      <c r="G51" s="93"/>
      <c r="H51" s="103"/>
      <c r="J51" s="393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6"/>
    </row>
    <row r="52" spans="2:23" ht="22.5" customHeight="1" thickBot="1">
      <c r="B52" s="118"/>
      <c r="C52" s="1299"/>
      <c r="D52" s="1299"/>
      <c r="E52" s="52"/>
      <c r="F52" s="52"/>
      <c r="G52" s="119"/>
      <c r="H52" s="120"/>
      <c r="J52" s="387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9"/>
    </row>
    <row r="53" spans="3:9" ht="22.5" customHeight="1">
      <c r="C53" s="101"/>
      <c r="D53" s="101"/>
      <c r="E53" s="102"/>
      <c r="F53" s="102"/>
      <c r="G53" s="102"/>
      <c r="I53" s="94" t="s">
        <v>83</v>
      </c>
    </row>
    <row r="54" spans="3:7" ht="12.75">
      <c r="C54" s="121" t="s">
        <v>286</v>
      </c>
      <c r="D54" s="101"/>
      <c r="E54" s="102"/>
      <c r="F54" s="102"/>
      <c r="G54" s="92" t="s">
        <v>278</v>
      </c>
    </row>
    <row r="55" spans="3:7" ht="12.75">
      <c r="C55" s="122" t="s">
        <v>287</v>
      </c>
      <c r="D55" s="101"/>
      <c r="E55" s="102"/>
      <c r="F55" s="102"/>
      <c r="G55" s="102"/>
    </row>
    <row r="56" spans="3:7" ht="12.75">
      <c r="C56" s="122" t="s">
        <v>288</v>
      </c>
      <c r="D56" s="101"/>
      <c r="E56" s="102"/>
      <c r="F56" s="102"/>
      <c r="G56" s="102"/>
    </row>
    <row r="57" spans="3:7" ht="12.75">
      <c r="C57" s="122" t="s">
        <v>289</v>
      </c>
      <c r="D57" s="101"/>
      <c r="E57" s="102"/>
      <c r="F57" s="102"/>
      <c r="G57" s="102"/>
    </row>
    <row r="58" spans="3:7" ht="12.75">
      <c r="C58" s="122" t="s">
        <v>290</v>
      </c>
      <c r="D58" s="101"/>
      <c r="E58" s="102"/>
      <c r="F58" s="102"/>
      <c r="G58" s="102"/>
    </row>
    <row r="59" spans="3:7" ht="22.5" customHeight="1">
      <c r="C59" s="101"/>
      <c r="D59" s="101"/>
      <c r="E59" s="102"/>
      <c r="F59" s="102"/>
      <c r="G59" s="102"/>
    </row>
    <row r="60" spans="3:7" ht="22.5" customHeight="1">
      <c r="C60" s="101"/>
      <c r="D60" s="101"/>
      <c r="E60" s="102"/>
      <c r="F60" s="102"/>
      <c r="G60" s="102"/>
    </row>
    <row r="61" spans="3:7" ht="22.5" customHeight="1">
      <c r="C61" s="101"/>
      <c r="D61" s="101"/>
      <c r="E61" s="102"/>
      <c r="F61" s="102"/>
      <c r="G61" s="102"/>
    </row>
    <row r="62" spans="3:7" ht="22.5" customHeight="1">
      <c r="C62" s="101"/>
      <c r="D62" s="101"/>
      <c r="E62" s="102"/>
      <c r="F62" s="102"/>
      <c r="G62" s="102"/>
    </row>
    <row r="63" spans="5:7" ht="22.5" customHeight="1">
      <c r="E63" s="102"/>
      <c r="F63" s="102"/>
      <c r="G63" s="102"/>
    </row>
  </sheetData>
  <sheetProtection sheet="1" objects="1" scenarios="1"/>
  <mergeCells count="21">
    <mergeCell ref="G6:G7"/>
    <mergeCell ref="D9:G9"/>
    <mergeCell ref="C12:D12"/>
    <mergeCell ref="C18:D18"/>
    <mergeCell ref="F44:G44"/>
    <mergeCell ref="F32:G32"/>
    <mergeCell ref="C20:D20"/>
    <mergeCell ref="F24:G24"/>
    <mergeCell ref="F25:G25"/>
    <mergeCell ref="F29:G29"/>
    <mergeCell ref="F26:G26"/>
    <mergeCell ref="F43:G43"/>
    <mergeCell ref="C32:D32"/>
    <mergeCell ref="F30:G30"/>
    <mergeCell ref="F28:G28"/>
    <mergeCell ref="C52:D52"/>
    <mergeCell ref="F20:G20"/>
    <mergeCell ref="F21:G21"/>
    <mergeCell ref="F22:G22"/>
    <mergeCell ref="F23:G23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">
      <selection activeCell="M21" sqref="M21"/>
    </sheetView>
  </sheetViews>
  <sheetFormatPr defaultColWidth="10.6640625" defaultRowHeight="22.5" customHeight="1"/>
  <cols>
    <col min="1" max="1" width="4.3359375" style="557" bestFit="1" customWidth="1"/>
    <col min="2" max="2" width="3.3359375" style="557" customWidth="1"/>
    <col min="3" max="3" width="13.5546875" style="557" customWidth="1"/>
    <col min="4" max="4" width="59.6640625" style="557" customWidth="1"/>
    <col min="5" max="10" width="13.4453125" style="559" customWidth="1"/>
    <col min="11" max="11" width="40.6640625" style="559" customWidth="1"/>
    <col min="12" max="12" width="3.3359375" style="557" customWidth="1"/>
    <col min="13" max="16384" width="10.6640625" style="557" customWidth="1"/>
  </cols>
  <sheetData>
    <row r="2" ht="22.5" customHeight="1">
      <c r="D2" s="619" t="str">
        <f>_GENERAL!D2</f>
        <v>Área de Presidencia, Hacienda y Modernización</v>
      </c>
    </row>
    <row r="3" ht="22.5" customHeight="1">
      <c r="D3" s="619" t="str">
        <f>_GENERAL!D3</f>
        <v>Dirección Insular de Hacienda</v>
      </c>
    </row>
    <row r="4" ht="22.5" customHeight="1" thickBot="1">
      <c r="A4" s="557" t="s">
        <v>82</v>
      </c>
    </row>
    <row r="5" spans="2:27" ht="9" customHeight="1"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3"/>
      <c r="N5" s="912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4"/>
    </row>
    <row r="6" spans="2:27" ht="30" customHeight="1">
      <c r="B6" s="564"/>
      <c r="C6" s="565" t="s">
        <v>216</v>
      </c>
      <c r="D6" s="566"/>
      <c r="E6" s="567"/>
      <c r="F6" s="567"/>
      <c r="G6" s="567"/>
      <c r="H6" s="567"/>
      <c r="I6" s="567"/>
      <c r="J6" s="567"/>
      <c r="K6" s="1291">
        <f>ejercicio</f>
        <v>2020</v>
      </c>
      <c r="L6" s="568"/>
      <c r="N6" s="915"/>
      <c r="O6" s="916" t="s">
        <v>906</v>
      </c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8"/>
    </row>
    <row r="7" spans="2:27" ht="30" customHeight="1">
      <c r="B7" s="564"/>
      <c r="C7" s="565" t="s">
        <v>217</v>
      </c>
      <c r="D7" s="566"/>
      <c r="E7" s="567"/>
      <c r="F7" s="567"/>
      <c r="G7" s="567"/>
      <c r="H7" s="567"/>
      <c r="I7" s="567"/>
      <c r="J7" s="567"/>
      <c r="K7" s="1291"/>
      <c r="L7" s="568"/>
      <c r="N7" s="915"/>
      <c r="O7" s="917"/>
      <c r="P7" s="917"/>
      <c r="Q7" s="917"/>
      <c r="R7" s="917"/>
      <c r="S7" s="917"/>
      <c r="T7" s="917"/>
      <c r="U7" s="917"/>
      <c r="V7" s="917"/>
      <c r="W7" s="917"/>
      <c r="X7" s="917"/>
      <c r="Y7" s="917"/>
      <c r="Z7" s="917"/>
      <c r="AA7" s="918"/>
    </row>
    <row r="8" spans="2:27" ht="30" customHeight="1">
      <c r="B8" s="564"/>
      <c r="C8" s="570"/>
      <c r="D8" s="566"/>
      <c r="E8" s="567"/>
      <c r="F8" s="567"/>
      <c r="G8" s="567"/>
      <c r="H8" s="567"/>
      <c r="I8" s="567"/>
      <c r="J8" s="567"/>
      <c r="K8" s="942"/>
      <c r="L8" s="568"/>
      <c r="N8" s="915"/>
      <c r="O8" s="917"/>
      <c r="P8" s="917"/>
      <c r="Q8" s="917"/>
      <c r="R8" s="917"/>
      <c r="S8" s="917"/>
      <c r="T8" s="917"/>
      <c r="U8" s="917"/>
      <c r="V8" s="917"/>
      <c r="W8" s="917"/>
      <c r="X8" s="917"/>
      <c r="Y8" s="917"/>
      <c r="Z8" s="917"/>
      <c r="AA8" s="918"/>
    </row>
    <row r="9" spans="2:27" s="1212" customFormat="1" ht="30" customHeight="1">
      <c r="B9" s="1213"/>
      <c r="C9" s="572" t="s">
        <v>218</v>
      </c>
      <c r="D9" s="1293" t="str">
        <f>Entidad</f>
        <v>INSTITUTO TECNOLOGICO Y DE ENERGIAS RENOVABLES S.A.</v>
      </c>
      <c r="E9" s="1293"/>
      <c r="F9" s="1293"/>
      <c r="G9" s="1293"/>
      <c r="H9" s="1293"/>
      <c r="I9" s="1293"/>
      <c r="J9" s="1293"/>
      <c r="K9" s="1293"/>
      <c r="L9" s="1214"/>
      <c r="N9" s="1215"/>
      <c r="O9" s="1216"/>
      <c r="P9" s="1216"/>
      <c r="Q9" s="1216"/>
      <c r="R9" s="1216"/>
      <c r="S9" s="1216"/>
      <c r="T9" s="1216"/>
      <c r="U9" s="1216"/>
      <c r="V9" s="1216"/>
      <c r="W9" s="1216"/>
      <c r="X9" s="1216"/>
      <c r="Y9" s="1216"/>
      <c r="Z9" s="1216"/>
      <c r="AA9" s="1217"/>
    </row>
    <row r="10" spans="2:27" ht="6.75" customHeight="1">
      <c r="B10" s="564"/>
      <c r="C10" s="566"/>
      <c r="D10" s="566"/>
      <c r="E10" s="567"/>
      <c r="F10" s="567"/>
      <c r="G10" s="567"/>
      <c r="H10" s="567"/>
      <c r="I10" s="567"/>
      <c r="J10" s="567"/>
      <c r="K10" s="567"/>
      <c r="L10" s="568"/>
      <c r="N10" s="915"/>
      <c r="O10" s="917"/>
      <c r="P10" s="917"/>
      <c r="Q10" s="917"/>
      <c r="R10" s="917"/>
      <c r="S10" s="917"/>
      <c r="T10" s="917"/>
      <c r="U10" s="917"/>
      <c r="V10" s="917"/>
      <c r="W10" s="917"/>
      <c r="X10" s="917"/>
      <c r="Y10" s="917"/>
      <c r="Z10" s="917"/>
      <c r="AA10" s="918"/>
    </row>
    <row r="11" spans="2:27" s="577" customFormat="1" ht="30" customHeight="1">
      <c r="B11" s="574"/>
      <c r="C11" s="575" t="s">
        <v>172</v>
      </c>
      <c r="D11" s="575"/>
      <c r="E11" s="576"/>
      <c r="F11" s="576"/>
      <c r="G11" s="576"/>
      <c r="H11" s="576"/>
      <c r="I11" s="576"/>
      <c r="J11" s="576"/>
      <c r="K11" s="576"/>
      <c r="L11" s="919"/>
      <c r="N11" s="1218"/>
      <c r="O11" s="1219"/>
      <c r="P11" s="1219"/>
      <c r="Q11" s="1219"/>
      <c r="R11" s="1219"/>
      <c r="S11" s="1219"/>
      <c r="T11" s="1219"/>
      <c r="U11" s="1219"/>
      <c r="V11" s="1219"/>
      <c r="W11" s="1219"/>
      <c r="X11" s="1219"/>
      <c r="Y11" s="1219"/>
      <c r="Z11" s="1219"/>
      <c r="AA11" s="1220"/>
    </row>
    <row r="12" spans="2:27" s="577" customFormat="1" ht="30" customHeight="1">
      <c r="B12" s="574"/>
      <c r="C12" s="1221"/>
      <c r="D12" s="1221"/>
      <c r="E12" s="578"/>
      <c r="F12" s="578"/>
      <c r="G12" s="578"/>
      <c r="H12" s="578"/>
      <c r="I12" s="578"/>
      <c r="J12" s="578"/>
      <c r="K12" s="578"/>
      <c r="L12" s="919"/>
      <c r="N12" s="1218"/>
      <c r="O12" s="1219"/>
      <c r="P12" s="1219"/>
      <c r="Q12" s="1219"/>
      <c r="R12" s="1219"/>
      <c r="S12" s="1219"/>
      <c r="T12" s="1219"/>
      <c r="U12" s="1219"/>
      <c r="V12" s="1219"/>
      <c r="W12" s="1219"/>
      <c r="X12" s="1219"/>
      <c r="Y12" s="1219"/>
      <c r="Z12" s="1219"/>
      <c r="AA12" s="1220"/>
    </row>
    <row r="13" spans="2:27" s="1222" customFormat="1" ht="22.5" customHeight="1">
      <c r="B13" s="580"/>
      <c r="C13" s="1440"/>
      <c r="D13" s="1441"/>
      <c r="E13" s="921" t="s">
        <v>179</v>
      </c>
      <c r="F13" s="1442" t="s">
        <v>612</v>
      </c>
      <c r="G13" s="1443"/>
      <c r="H13" s="1443"/>
      <c r="I13" s="1444"/>
      <c r="J13" s="921" t="s">
        <v>180</v>
      </c>
      <c r="K13" s="1445" t="s">
        <v>191</v>
      </c>
      <c r="L13" s="1223"/>
      <c r="N13" s="915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8"/>
    </row>
    <row r="14" spans="2:27" ht="24.75">
      <c r="B14" s="564"/>
      <c r="C14" s="1224" t="s">
        <v>173</v>
      </c>
      <c r="D14" s="1225"/>
      <c r="E14" s="1226">
        <f>ejercicio</f>
        <v>2020</v>
      </c>
      <c r="F14" s="1227" t="s">
        <v>181</v>
      </c>
      <c r="G14" s="1228" t="s">
        <v>182</v>
      </c>
      <c r="H14" s="1228" t="s">
        <v>183</v>
      </c>
      <c r="I14" s="1229" t="s">
        <v>184</v>
      </c>
      <c r="J14" s="1226">
        <f>ejercicio</f>
        <v>2020</v>
      </c>
      <c r="K14" s="1446"/>
      <c r="L14" s="568"/>
      <c r="N14" s="915"/>
      <c r="O14" s="917"/>
      <c r="P14" s="917"/>
      <c r="Q14" s="917"/>
      <c r="R14" s="917"/>
      <c r="S14" s="917"/>
      <c r="T14" s="917"/>
      <c r="U14" s="917"/>
      <c r="V14" s="917"/>
      <c r="W14" s="917"/>
      <c r="X14" s="917"/>
      <c r="Y14" s="917"/>
      <c r="Z14" s="917"/>
      <c r="AA14" s="918"/>
    </row>
    <row r="15" spans="2:27" s="1230" customFormat="1" ht="22.5" customHeight="1">
      <c r="B15" s="580"/>
      <c r="C15" s="1231" t="s">
        <v>175</v>
      </c>
      <c r="D15" s="1232"/>
      <c r="E15" s="427"/>
      <c r="F15" s="428"/>
      <c r="G15" s="429"/>
      <c r="H15" s="429"/>
      <c r="I15" s="430"/>
      <c r="J15" s="735">
        <f>SUM(E15:I15)</f>
        <v>0</v>
      </c>
      <c r="K15" s="456"/>
      <c r="L15" s="1223"/>
      <c r="N15" s="915"/>
      <c r="O15" s="917"/>
      <c r="P15" s="917"/>
      <c r="Q15" s="917"/>
      <c r="R15" s="917"/>
      <c r="S15" s="917"/>
      <c r="T15" s="917"/>
      <c r="U15" s="917"/>
      <c r="V15" s="917"/>
      <c r="W15" s="917"/>
      <c r="X15" s="917"/>
      <c r="Y15" s="917"/>
      <c r="Z15" s="917"/>
      <c r="AA15" s="918"/>
    </row>
    <row r="16" spans="2:27" ht="22.5" customHeight="1">
      <c r="B16" s="580"/>
      <c r="C16" s="1233" t="s">
        <v>176</v>
      </c>
      <c r="D16" s="1234"/>
      <c r="E16" s="431"/>
      <c r="F16" s="432"/>
      <c r="G16" s="433"/>
      <c r="H16" s="433"/>
      <c r="I16" s="434"/>
      <c r="J16" s="740">
        <f>SUM(E16:I16)</f>
        <v>0</v>
      </c>
      <c r="K16" s="443"/>
      <c r="L16" s="568"/>
      <c r="N16" s="915"/>
      <c r="O16" s="917"/>
      <c r="P16" s="917"/>
      <c r="Q16" s="917"/>
      <c r="R16" s="917"/>
      <c r="S16" s="917"/>
      <c r="T16" s="917"/>
      <c r="U16" s="917"/>
      <c r="V16" s="917"/>
      <c r="W16" s="917"/>
      <c r="X16" s="917"/>
      <c r="Y16" s="917"/>
      <c r="Z16" s="917"/>
      <c r="AA16" s="918"/>
    </row>
    <row r="17" spans="2:27" ht="24" customHeight="1">
      <c r="B17" s="580"/>
      <c r="C17" s="1233" t="s">
        <v>177</v>
      </c>
      <c r="D17" s="1234"/>
      <c r="E17" s="431"/>
      <c r="F17" s="432"/>
      <c r="G17" s="433"/>
      <c r="H17" s="433"/>
      <c r="I17" s="434"/>
      <c r="J17" s="740">
        <f>SUM(E17:I17)</f>
        <v>0</v>
      </c>
      <c r="K17" s="443"/>
      <c r="L17" s="568"/>
      <c r="N17" s="915"/>
      <c r="O17" s="917"/>
      <c r="P17" s="917"/>
      <c r="Q17" s="917"/>
      <c r="R17" s="917"/>
      <c r="S17" s="917"/>
      <c r="T17" s="917"/>
      <c r="U17" s="917"/>
      <c r="V17" s="917"/>
      <c r="W17" s="917"/>
      <c r="X17" s="917"/>
      <c r="Y17" s="917"/>
      <c r="Z17" s="917"/>
      <c r="AA17" s="918"/>
    </row>
    <row r="18" spans="2:27" ht="22.5" customHeight="1">
      <c r="B18" s="580"/>
      <c r="C18" s="1235" t="s">
        <v>178</v>
      </c>
      <c r="D18" s="1236"/>
      <c r="E18" s="435">
        <v>29543.31</v>
      </c>
      <c r="F18" s="436">
        <v>1200</v>
      </c>
      <c r="G18" s="437"/>
      <c r="H18" s="437"/>
      <c r="I18" s="438"/>
      <c r="J18" s="1237">
        <f>SUM(E18:I18)</f>
        <v>30743.31</v>
      </c>
      <c r="K18" s="482"/>
      <c r="L18" s="568"/>
      <c r="N18" s="915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8"/>
    </row>
    <row r="19" spans="2:27" ht="22.5" customHeight="1" thickBot="1">
      <c r="B19" s="580"/>
      <c r="C19" s="900" t="s">
        <v>610</v>
      </c>
      <c r="D19" s="901"/>
      <c r="E19" s="616">
        <f aca="true" t="shared" si="0" ref="E19:J19">SUM(E15:E18)</f>
        <v>29543.31</v>
      </c>
      <c r="F19" s="616">
        <f t="shared" si="0"/>
        <v>1200</v>
      </c>
      <c r="G19" s="616">
        <f t="shared" si="0"/>
        <v>0</v>
      </c>
      <c r="H19" s="616">
        <f t="shared" si="0"/>
        <v>0</v>
      </c>
      <c r="I19" s="616">
        <f t="shared" si="0"/>
        <v>0</v>
      </c>
      <c r="J19" s="616">
        <f t="shared" si="0"/>
        <v>30743.31</v>
      </c>
      <c r="K19" s="625"/>
      <c r="L19" s="568"/>
      <c r="N19" s="915"/>
      <c r="O19" s="917"/>
      <c r="P19" s="917"/>
      <c r="Q19" s="917"/>
      <c r="R19" s="917"/>
      <c r="S19" s="917"/>
      <c r="T19" s="917"/>
      <c r="U19" s="917"/>
      <c r="V19" s="917"/>
      <c r="W19" s="917"/>
      <c r="X19" s="917"/>
      <c r="Y19" s="917"/>
      <c r="Z19" s="917"/>
      <c r="AA19" s="918"/>
    </row>
    <row r="20" spans="2:27" ht="7.5" customHeight="1">
      <c r="B20" s="580"/>
      <c r="C20" s="1238"/>
      <c r="D20" s="1238"/>
      <c r="E20" s="908"/>
      <c r="F20" s="908"/>
      <c r="G20" s="908"/>
      <c r="H20" s="908"/>
      <c r="I20" s="908"/>
      <c r="J20" s="908"/>
      <c r="K20" s="908"/>
      <c r="L20" s="568"/>
      <c r="N20" s="915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8"/>
    </row>
    <row r="21" spans="2:27" ht="22.5" customHeight="1">
      <c r="B21" s="580"/>
      <c r="C21" s="1221"/>
      <c r="D21" s="1221"/>
      <c r="E21" s="578"/>
      <c r="F21" s="578"/>
      <c r="G21" s="578"/>
      <c r="H21" s="578"/>
      <c r="I21" s="578"/>
      <c r="J21" s="578"/>
      <c r="K21" s="578"/>
      <c r="L21" s="568"/>
      <c r="N21" s="915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8"/>
    </row>
    <row r="22" spans="2:27" ht="22.5" customHeight="1">
      <c r="B22" s="580"/>
      <c r="C22" s="1440"/>
      <c r="D22" s="1441"/>
      <c r="E22" s="921" t="s">
        <v>179</v>
      </c>
      <c r="F22" s="1442" t="s">
        <v>612</v>
      </c>
      <c r="G22" s="1443"/>
      <c r="H22" s="1443"/>
      <c r="I22" s="1444"/>
      <c r="J22" s="921" t="s">
        <v>180</v>
      </c>
      <c r="K22" s="1445" t="s">
        <v>191</v>
      </c>
      <c r="L22" s="568"/>
      <c r="N22" s="915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17"/>
      <c r="Z22" s="917"/>
      <c r="AA22" s="918"/>
    </row>
    <row r="23" spans="2:27" ht="24.75">
      <c r="B23" s="580"/>
      <c r="C23" s="1224" t="s">
        <v>174</v>
      </c>
      <c r="D23" s="1225"/>
      <c r="E23" s="1226">
        <f>ejercicio</f>
        <v>2020</v>
      </c>
      <c r="F23" s="1227" t="s">
        <v>181</v>
      </c>
      <c r="G23" s="1228" t="s">
        <v>182</v>
      </c>
      <c r="H23" s="1228" t="s">
        <v>183</v>
      </c>
      <c r="I23" s="1229" t="s">
        <v>184</v>
      </c>
      <c r="J23" s="1226">
        <f>ejercicio</f>
        <v>2020</v>
      </c>
      <c r="K23" s="1446"/>
      <c r="L23" s="568"/>
      <c r="N23" s="915"/>
      <c r="O23" s="917"/>
      <c r="P23" s="917"/>
      <c r="Q23" s="917"/>
      <c r="R23" s="917"/>
      <c r="S23" s="917"/>
      <c r="T23" s="917"/>
      <c r="U23" s="917"/>
      <c r="V23" s="917"/>
      <c r="W23" s="917"/>
      <c r="X23" s="917"/>
      <c r="Y23" s="917"/>
      <c r="Z23" s="917"/>
      <c r="AA23" s="918"/>
    </row>
    <row r="24" spans="2:27" ht="22.5" customHeight="1">
      <c r="B24" s="580"/>
      <c r="C24" s="1231" t="s">
        <v>185</v>
      </c>
      <c r="D24" s="1232"/>
      <c r="E24" s="427"/>
      <c r="F24" s="428"/>
      <c r="G24" s="429"/>
      <c r="H24" s="429"/>
      <c r="I24" s="430"/>
      <c r="J24" s="735">
        <f>SUM(E24:I24)</f>
        <v>0</v>
      </c>
      <c r="K24" s="456"/>
      <c r="L24" s="568"/>
      <c r="N24" s="915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8"/>
    </row>
    <row r="25" spans="2:27" ht="22.5" customHeight="1">
      <c r="B25" s="580"/>
      <c r="C25" s="1233" t="s">
        <v>186</v>
      </c>
      <c r="D25" s="1234"/>
      <c r="E25" s="431"/>
      <c r="F25" s="432"/>
      <c r="G25" s="433"/>
      <c r="H25" s="433"/>
      <c r="I25" s="434"/>
      <c r="J25" s="735">
        <f>SUM(E25:I25)</f>
        <v>0</v>
      </c>
      <c r="K25" s="443"/>
      <c r="L25" s="568"/>
      <c r="N25" s="915"/>
      <c r="O25" s="917"/>
      <c r="P25" s="917"/>
      <c r="Q25" s="917"/>
      <c r="R25" s="917"/>
      <c r="S25" s="917"/>
      <c r="T25" s="917"/>
      <c r="U25" s="917"/>
      <c r="V25" s="917"/>
      <c r="W25" s="917"/>
      <c r="X25" s="917"/>
      <c r="Y25" s="917"/>
      <c r="Z25" s="917"/>
      <c r="AA25" s="918"/>
    </row>
    <row r="26" spans="2:27" ht="22.5" customHeight="1">
      <c r="B26" s="580"/>
      <c r="C26" s="1233" t="s">
        <v>187</v>
      </c>
      <c r="D26" s="1234"/>
      <c r="E26" s="431"/>
      <c r="F26" s="432"/>
      <c r="G26" s="433"/>
      <c r="H26" s="433"/>
      <c r="I26" s="434"/>
      <c r="J26" s="735">
        <f>SUM(E26:I26)</f>
        <v>0</v>
      </c>
      <c r="K26" s="1152"/>
      <c r="L26" s="568"/>
      <c r="N26" s="915"/>
      <c r="O26" s="917"/>
      <c r="P26" s="917"/>
      <c r="Q26" s="917"/>
      <c r="R26" s="917"/>
      <c r="S26" s="917"/>
      <c r="T26" s="917"/>
      <c r="U26" s="917"/>
      <c r="V26" s="917"/>
      <c r="W26" s="917"/>
      <c r="X26" s="917"/>
      <c r="Y26" s="917"/>
      <c r="Z26" s="917"/>
      <c r="AA26" s="918"/>
    </row>
    <row r="27" spans="2:27" ht="22.5" customHeight="1">
      <c r="B27" s="580"/>
      <c r="C27" s="1235" t="s">
        <v>188</v>
      </c>
      <c r="D27" s="1236"/>
      <c r="E27" s="435"/>
      <c r="F27" s="436"/>
      <c r="G27" s="437"/>
      <c r="H27" s="437"/>
      <c r="I27" s="438"/>
      <c r="J27" s="735">
        <f>SUM(E27:I27)</f>
        <v>0</v>
      </c>
      <c r="K27" s="482"/>
      <c r="L27" s="568"/>
      <c r="N27" s="1239"/>
      <c r="O27" s="1240"/>
      <c r="P27" s="1240"/>
      <c r="Q27" s="1240"/>
      <c r="R27" s="1240"/>
      <c r="S27" s="1240"/>
      <c r="T27" s="1240"/>
      <c r="U27" s="1240"/>
      <c r="V27" s="1240"/>
      <c r="W27" s="1240"/>
      <c r="X27" s="1240"/>
      <c r="Y27" s="1240"/>
      <c r="Z27" s="1240"/>
      <c r="AA27" s="1241"/>
    </row>
    <row r="28" spans="2:27" ht="22.5" customHeight="1" thickBot="1">
      <c r="B28" s="580"/>
      <c r="C28" s="900" t="s">
        <v>610</v>
      </c>
      <c r="D28" s="901"/>
      <c r="E28" s="616">
        <f aca="true" t="shared" si="1" ref="E28:J28">SUM(E24:E27)</f>
        <v>0</v>
      </c>
      <c r="F28" s="616">
        <f t="shared" si="1"/>
        <v>0</v>
      </c>
      <c r="G28" s="616">
        <f t="shared" si="1"/>
        <v>0</v>
      </c>
      <c r="H28" s="616">
        <f t="shared" si="1"/>
        <v>0</v>
      </c>
      <c r="I28" s="616">
        <f t="shared" si="1"/>
        <v>0</v>
      </c>
      <c r="J28" s="616">
        <f t="shared" si="1"/>
        <v>0</v>
      </c>
      <c r="K28" s="625"/>
      <c r="L28" s="568"/>
      <c r="N28" s="1239"/>
      <c r="O28" s="1240"/>
      <c r="P28" s="1240"/>
      <c r="Q28" s="1240"/>
      <c r="R28" s="1240"/>
      <c r="S28" s="1240"/>
      <c r="T28" s="1240"/>
      <c r="U28" s="1240"/>
      <c r="V28" s="1240"/>
      <c r="W28" s="1240"/>
      <c r="X28" s="1240"/>
      <c r="Y28" s="1240"/>
      <c r="Z28" s="1240"/>
      <c r="AA28" s="1241"/>
    </row>
    <row r="29" spans="2:27" ht="9" customHeight="1">
      <c r="B29" s="580"/>
      <c r="C29" s="1238"/>
      <c r="D29" s="1238"/>
      <c r="E29" s="908"/>
      <c r="F29" s="908"/>
      <c r="G29" s="908"/>
      <c r="H29" s="908"/>
      <c r="I29" s="908"/>
      <c r="J29" s="908"/>
      <c r="K29" s="908"/>
      <c r="L29" s="568"/>
      <c r="N29" s="915"/>
      <c r="O29" s="917"/>
      <c r="P29" s="917"/>
      <c r="Q29" s="917"/>
      <c r="R29" s="917"/>
      <c r="S29" s="917"/>
      <c r="T29" s="917"/>
      <c r="U29" s="917"/>
      <c r="V29" s="917"/>
      <c r="W29" s="917"/>
      <c r="X29" s="917"/>
      <c r="Y29" s="917"/>
      <c r="Z29" s="917"/>
      <c r="AA29" s="918"/>
    </row>
    <row r="30" spans="2:27" ht="22.5" customHeight="1">
      <c r="B30" s="580"/>
      <c r="C30" s="1221"/>
      <c r="D30" s="1221"/>
      <c r="E30" s="578"/>
      <c r="F30" s="578"/>
      <c r="G30" s="578"/>
      <c r="H30" s="578"/>
      <c r="I30" s="578"/>
      <c r="J30" s="578"/>
      <c r="K30" s="578"/>
      <c r="L30" s="568"/>
      <c r="N30" s="915"/>
      <c r="O30" s="917"/>
      <c r="P30" s="917"/>
      <c r="Q30" s="917"/>
      <c r="R30" s="917"/>
      <c r="S30" s="917"/>
      <c r="T30" s="917"/>
      <c r="U30" s="917"/>
      <c r="V30" s="917"/>
      <c r="W30" s="917"/>
      <c r="X30" s="917"/>
      <c r="Y30" s="917"/>
      <c r="Z30" s="917"/>
      <c r="AA30" s="918"/>
    </row>
    <row r="31" spans="2:27" ht="22.5" customHeight="1">
      <c r="B31" s="580"/>
      <c r="C31" s="839" t="s">
        <v>958</v>
      </c>
      <c r="D31" s="1196"/>
      <c r="E31" s="638"/>
      <c r="F31" s="638"/>
      <c r="G31" s="638"/>
      <c r="H31" s="638"/>
      <c r="I31" s="638"/>
      <c r="J31" s="638"/>
      <c r="K31" s="578"/>
      <c r="L31" s="568"/>
      <c r="N31" s="915"/>
      <c r="O31" s="917"/>
      <c r="P31" s="917"/>
      <c r="Q31" s="917"/>
      <c r="R31" s="917"/>
      <c r="S31" s="917"/>
      <c r="T31" s="917"/>
      <c r="U31" s="917"/>
      <c r="V31" s="917"/>
      <c r="W31" s="917"/>
      <c r="X31" s="917"/>
      <c r="Y31" s="917"/>
      <c r="Z31" s="917"/>
      <c r="AA31" s="918"/>
    </row>
    <row r="32" spans="2:27" ht="18">
      <c r="B32" s="580"/>
      <c r="C32" s="840" t="s">
        <v>189</v>
      </c>
      <c r="D32" s="1196"/>
      <c r="E32" s="638"/>
      <c r="F32" s="638"/>
      <c r="G32" s="638"/>
      <c r="H32" s="638"/>
      <c r="I32" s="638"/>
      <c r="J32" s="638"/>
      <c r="K32" s="578"/>
      <c r="L32" s="568"/>
      <c r="N32" s="945"/>
      <c r="O32" s="946"/>
      <c r="P32" s="946"/>
      <c r="Q32" s="946"/>
      <c r="R32" s="946"/>
      <c r="S32" s="946"/>
      <c r="T32" s="946"/>
      <c r="U32" s="946"/>
      <c r="V32" s="946"/>
      <c r="W32" s="946"/>
      <c r="X32" s="946"/>
      <c r="Y32" s="946"/>
      <c r="Z32" s="946"/>
      <c r="AA32" s="947"/>
    </row>
    <row r="33" spans="2:27" ht="9" customHeight="1">
      <c r="B33" s="580"/>
      <c r="C33" s="940"/>
      <c r="D33" s="1196"/>
      <c r="E33" s="638"/>
      <c r="F33" s="638"/>
      <c r="G33" s="638"/>
      <c r="H33" s="638"/>
      <c r="I33" s="638"/>
      <c r="J33" s="638"/>
      <c r="K33" s="578"/>
      <c r="L33" s="568"/>
      <c r="N33" s="945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7"/>
    </row>
    <row r="34" spans="2:27" ht="18">
      <c r="B34" s="580"/>
      <c r="C34" s="940" t="s">
        <v>190</v>
      </c>
      <c r="D34" s="1196"/>
      <c r="E34" s="638"/>
      <c r="F34" s="638"/>
      <c r="G34" s="638"/>
      <c r="H34" s="638"/>
      <c r="I34" s="638"/>
      <c r="J34" s="638"/>
      <c r="K34" s="578"/>
      <c r="L34" s="568"/>
      <c r="N34" s="945"/>
      <c r="O34" s="946"/>
      <c r="P34" s="946"/>
      <c r="Q34" s="946"/>
      <c r="R34" s="946"/>
      <c r="S34" s="946"/>
      <c r="T34" s="946"/>
      <c r="U34" s="946"/>
      <c r="V34" s="946"/>
      <c r="W34" s="946"/>
      <c r="X34" s="946"/>
      <c r="Y34" s="946"/>
      <c r="Z34" s="946"/>
      <c r="AA34" s="947"/>
    </row>
    <row r="35" spans="2:27" ht="22.5" customHeight="1" thickBot="1">
      <c r="B35" s="639"/>
      <c r="C35" s="1292"/>
      <c r="D35" s="1292"/>
      <c r="E35" s="1292"/>
      <c r="F35" s="1292"/>
      <c r="G35" s="640"/>
      <c r="H35" s="640"/>
      <c r="I35" s="640"/>
      <c r="J35" s="640"/>
      <c r="K35" s="1089"/>
      <c r="L35" s="641"/>
      <c r="N35" s="951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3"/>
    </row>
    <row r="36" spans="3:13" ht="22.5" customHeight="1">
      <c r="C36" s="566"/>
      <c r="D36" s="566"/>
      <c r="E36" s="567"/>
      <c r="F36" s="567"/>
      <c r="G36" s="567"/>
      <c r="H36" s="567"/>
      <c r="I36" s="567"/>
      <c r="J36" s="567"/>
      <c r="K36" s="567"/>
      <c r="M36" s="557" t="s">
        <v>83</v>
      </c>
    </row>
    <row r="37" spans="3:11" ht="12.75">
      <c r="C37" s="642" t="s">
        <v>286</v>
      </c>
      <c r="D37" s="566"/>
      <c r="E37" s="567"/>
      <c r="F37" s="567"/>
      <c r="G37" s="567"/>
      <c r="H37" s="567"/>
      <c r="I37" s="567"/>
      <c r="J37" s="567"/>
      <c r="K37" s="954" t="s">
        <v>194</v>
      </c>
    </row>
    <row r="38" spans="3:11" ht="12.75">
      <c r="C38" s="644" t="s">
        <v>287</v>
      </c>
      <c r="D38" s="566"/>
      <c r="E38" s="567"/>
      <c r="F38" s="567"/>
      <c r="G38" s="567"/>
      <c r="H38" s="567"/>
      <c r="I38" s="567"/>
      <c r="J38" s="567"/>
      <c r="K38" s="567"/>
    </row>
    <row r="39" spans="3:11" ht="12.75">
      <c r="C39" s="644" t="s">
        <v>288</v>
      </c>
      <c r="D39" s="566"/>
      <c r="E39" s="567"/>
      <c r="F39" s="567"/>
      <c r="G39" s="567"/>
      <c r="H39" s="567"/>
      <c r="I39" s="567"/>
      <c r="J39" s="567"/>
      <c r="K39" s="567"/>
    </row>
    <row r="40" spans="3:11" ht="12.75">
      <c r="C40" s="644" t="s">
        <v>289</v>
      </c>
      <c r="D40" s="566"/>
      <c r="E40" s="567"/>
      <c r="F40" s="567"/>
      <c r="G40" s="567"/>
      <c r="H40" s="567"/>
      <c r="I40" s="567"/>
      <c r="J40" s="567"/>
      <c r="K40" s="567"/>
    </row>
    <row r="41" spans="3:11" ht="12.75">
      <c r="C41" s="644" t="s">
        <v>290</v>
      </c>
      <c r="D41" s="566"/>
      <c r="E41" s="567"/>
      <c r="F41" s="567"/>
      <c r="G41" s="567"/>
      <c r="H41" s="567"/>
      <c r="I41" s="567"/>
      <c r="J41" s="567"/>
      <c r="K41" s="567"/>
    </row>
    <row r="42" spans="3:11" ht="22.5" customHeight="1">
      <c r="C42" s="566"/>
      <c r="D42" s="566"/>
      <c r="E42" s="567"/>
      <c r="F42" s="567"/>
      <c r="G42" s="567"/>
      <c r="H42" s="567"/>
      <c r="I42" s="567"/>
      <c r="J42" s="567"/>
      <c r="K42" s="567"/>
    </row>
    <row r="43" spans="3:11" ht="22.5" customHeight="1">
      <c r="C43" s="566"/>
      <c r="D43" s="566"/>
      <c r="E43" s="567"/>
      <c r="F43" s="567"/>
      <c r="G43" s="567"/>
      <c r="H43" s="567"/>
      <c r="I43" s="567"/>
      <c r="J43" s="567"/>
      <c r="K43" s="567"/>
    </row>
    <row r="44" spans="3:11" ht="22.5" customHeight="1">
      <c r="C44" s="566"/>
      <c r="D44" s="566"/>
      <c r="E44" s="567"/>
      <c r="F44" s="567"/>
      <c r="G44" s="567"/>
      <c r="H44" s="567"/>
      <c r="I44" s="567"/>
      <c r="J44" s="567"/>
      <c r="K44" s="567"/>
    </row>
    <row r="45" spans="3:11" ht="22.5" customHeight="1">
      <c r="C45" s="566"/>
      <c r="D45" s="566"/>
      <c r="E45" s="567"/>
      <c r="F45" s="567"/>
      <c r="G45" s="567"/>
      <c r="H45" s="567"/>
      <c r="I45" s="567"/>
      <c r="J45" s="567"/>
      <c r="K45" s="567"/>
    </row>
    <row r="46" spans="6:11" ht="22.5" customHeight="1">
      <c r="F46" s="567"/>
      <c r="G46" s="567"/>
      <c r="H46" s="567"/>
      <c r="I46" s="567"/>
      <c r="J46" s="567"/>
      <c r="K46" s="567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M21" sqref="M21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3359375" style="94" customWidth="1"/>
    <col min="4" max="4" width="67.99609375" style="94" customWidth="1"/>
    <col min="5" max="5" width="17.6640625" style="95" customWidth="1"/>
    <col min="6" max="6" width="12.3359375" style="95" customWidth="1"/>
    <col min="7" max="7" width="3.3359375" style="94" customWidth="1"/>
    <col min="8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22" ht="9" customHeight="1">
      <c r="B5" s="96"/>
      <c r="C5" s="97"/>
      <c r="D5" s="97"/>
      <c r="E5" s="98"/>
      <c r="F5" s="98"/>
      <c r="G5" s="99"/>
      <c r="I5" s="390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2"/>
    </row>
    <row r="6" spans="2:22" ht="30" customHeight="1">
      <c r="B6" s="100"/>
      <c r="C6" s="64" t="s">
        <v>216</v>
      </c>
      <c r="D6" s="101"/>
      <c r="E6" s="102"/>
      <c r="F6" s="1285">
        <f>ejercicio</f>
        <v>2020</v>
      </c>
      <c r="G6" s="103"/>
      <c r="I6" s="393"/>
      <c r="J6" s="394" t="s">
        <v>906</v>
      </c>
      <c r="K6" s="394"/>
      <c r="L6" s="394"/>
      <c r="M6" s="394"/>
      <c r="N6" s="395"/>
      <c r="O6" s="395"/>
      <c r="P6" s="395"/>
      <c r="Q6" s="395"/>
      <c r="R6" s="395"/>
      <c r="S6" s="395"/>
      <c r="T6" s="395"/>
      <c r="U6" s="395"/>
      <c r="V6" s="396"/>
    </row>
    <row r="7" spans="2:22" ht="30" customHeight="1">
      <c r="B7" s="100"/>
      <c r="C7" s="64" t="s">
        <v>217</v>
      </c>
      <c r="D7" s="101"/>
      <c r="E7" s="102"/>
      <c r="F7" s="1285"/>
      <c r="G7" s="103"/>
      <c r="I7" s="393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6"/>
    </row>
    <row r="8" spans="2:22" ht="30" customHeight="1">
      <c r="B8" s="100"/>
      <c r="C8" s="104"/>
      <c r="D8" s="101"/>
      <c r="E8" s="102"/>
      <c r="F8" s="105"/>
      <c r="G8" s="103"/>
      <c r="I8" s="393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6"/>
    </row>
    <row r="9" spans="2:22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300"/>
      <c r="G9" s="180"/>
      <c r="I9" s="393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6"/>
    </row>
    <row r="10" spans="2:22" ht="6.75" customHeight="1">
      <c r="B10" s="100"/>
      <c r="C10" s="101"/>
      <c r="D10" s="101"/>
      <c r="E10" s="102"/>
      <c r="F10" s="102"/>
      <c r="G10" s="103"/>
      <c r="I10" s="393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6"/>
    </row>
    <row r="11" spans="2:22" s="112" customFormat="1" ht="30" customHeight="1">
      <c r="B11" s="108"/>
      <c r="C11" s="109" t="s">
        <v>816</v>
      </c>
      <c r="D11" s="109"/>
      <c r="E11" s="110"/>
      <c r="F11" s="110"/>
      <c r="G11" s="111"/>
      <c r="I11" s="393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6"/>
    </row>
    <row r="12" spans="2:22" s="112" customFormat="1" ht="30" customHeight="1">
      <c r="B12" s="108"/>
      <c r="C12" s="1369"/>
      <c r="D12" s="1369"/>
      <c r="E12" s="93"/>
      <c r="F12" s="93"/>
      <c r="G12" s="111"/>
      <c r="I12" s="393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6"/>
    </row>
    <row r="13" spans="2:22" ht="9" customHeight="1">
      <c r="B13" s="114"/>
      <c r="C13" s="147"/>
      <c r="D13" s="147"/>
      <c r="E13" s="93"/>
      <c r="F13" s="93"/>
      <c r="G13" s="103"/>
      <c r="I13" s="393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6"/>
    </row>
    <row r="14" spans="2:22" s="242" customFormat="1" ht="24" customHeight="1">
      <c r="B14" s="239"/>
      <c r="C14" s="1360" t="s">
        <v>672</v>
      </c>
      <c r="D14" s="1362"/>
      <c r="E14" s="258" t="s">
        <v>699</v>
      </c>
      <c r="F14" s="269" t="s">
        <v>817</v>
      </c>
      <c r="G14" s="241"/>
      <c r="I14" s="393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6"/>
    </row>
    <row r="15" spans="2:22" ht="9" customHeight="1">
      <c r="B15" s="114"/>
      <c r="C15" s="63"/>
      <c r="D15" s="147"/>
      <c r="E15" s="93"/>
      <c r="F15" s="246"/>
      <c r="G15" s="103"/>
      <c r="I15" s="393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6"/>
    </row>
    <row r="16" spans="2:22" s="285" customFormat="1" ht="22.5" customHeight="1">
      <c r="B16" s="283"/>
      <c r="C16" s="1447" t="s">
        <v>818</v>
      </c>
      <c r="D16" s="1448"/>
      <c r="E16" s="286">
        <f>SUM(E17:E19)</f>
        <v>2574692.2667557476</v>
      </c>
      <c r="F16" s="289">
        <f>E16/$E$33</f>
        <v>0.11502586630686652</v>
      </c>
      <c r="G16" s="284"/>
      <c r="I16" s="393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6"/>
    </row>
    <row r="17" spans="2:22" s="181" customFormat="1" ht="22.5" customHeight="1">
      <c r="B17" s="179"/>
      <c r="C17" s="185" t="s">
        <v>819</v>
      </c>
      <c r="D17" s="255" t="s">
        <v>822</v>
      </c>
      <c r="E17" s="549">
        <f>+'FC-3_1_INF_ADIC_CPyG'!K16+'FC-3_1_INF_ADIC_CPyG'!K19</f>
        <v>2555386.7165649533</v>
      </c>
      <c r="F17" s="290">
        <f>E17/$E$33</f>
        <v>0.11416337968510612</v>
      </c>
      <c r="G17" s="180"/>
      <c r="I17" s="393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6"/>
    </row>
    <row r="18" spans="2:22" s="181" customFormat="1" ht="22.5" customHeight="1">
      <c r="B18" s="179"/>
      <c r="C18" s="185" t="s">
        <v>820</v>
      </c>
      <c r="D18" s="255" t="s">
        <v>823</v>
      </c>
      <c r="E18" s="549">
        <f>+'FC-3_1_INF_ADIC_CPyG'!K37</f>
        <v>19305.55019079439</v>
      </c>
      <c r="F18" s="291">
        <f>E18/$E$33</f>
        <v>0.00086248662176041</v>
      </c>
      <c r="G18" s="180"/>
      <c r="I18" s="393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6"/>
    </row>
    <row r="19" spans="2:22" s="181" customFormat="1" ht="22.5" customHeight="1">
      <c r="B19" s="179"/>
      <c r="C19" s="270" t="s">
        <v>821</v>
      </c>
      <c r="D19" s="256" t="s">
        <v>824</v>
      </c>
      <c r="E19" s="460"/>
      <c r="F19" s="292">
        <f>E19/$E$33</f>
        <v>0</v>
      </c>
      <c r="G19" s="180"/>
      <c r="I19" s="393" t="s">
        <v>148</v>
      </c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6"/>
    </row>
    <row r="20" spans="2:22" s="181" customFormat="1" ht="9" customHeight="1">
      <c r="B20" s="179"/>
      <c r="C20" s="21"/>
      <c r="D20" s="147"/>
      <c r="E20" s="143"/>
      <c r="F20" s="293"/>
      <c r="G20" s="180"/>
      <c r="I20" s="393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6"/>
    </row>
    <row r="21" spans="2:22" s="181" customFormat="1" ht="22.5" customHeight="1">
      <c r="B21" s="179"/>
      <c r="C21" s="1447" t="s">
        <v>825</v>
      </c>
      <c r="D21" s="1448"/>
      <c r="E21" s="1205">
        <f>+'FC-3_1_INF_ADIC_CPyG'!K46</f>
        <v>18327421.70324425</v>
      </c>
      <c r="F21" s="294">
        <f>E21/$E$33</f>
        <v>0.8187881657963313</v>
      </c>
      <c r="G21" s="180"/>
      <c r="I21" s="393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6"/>
    </row>
    <row r="22" spans="2:22" s="181" customFormat="1" ht="9" customHeight="1">
      <c r="B22" s="179"/>
      <c r="C22" s="21"/>
      <c r="D22" s="147"/>
      <c r="E22" s="143"/>
      <c r="F22" s="293"/>
      <c r="G22" s="180"/>
      <c r="I22" s="393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6"/>
    </row>
    <row r="23" spans="2:22" s="285" customFormat="1" ht="22.5" customHeight="1">
      <c r="B23" s="283"/>
      <c r="C23" s="1447" t="s">
        <v>826</v>
      </c>
      <c r="D23" s="1448"/>
      <c r="E23" s="286">
        <f>SUM(E24:E26)</f>
        <v>1481479.82</v>
      </c>
      <c r="F23" s="294">
        <f>E23/$E$33</f>
        <v>0.06618596789680216</v>
      </c>
      <c r="G23" s="284"/>
      <c r="I23" s="393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6"/>
    </row>
    <row r="24" spans="2:22" s="181" customFormat="1" ht="22.5" customHeight="1">
      <c r="B24" s="179"/>
      <c r="C24" s="185" t="s">
        <v>819</v>
      </c>
      <c r="D24" s="255" t="s">
        <v>827</v>
      </c>
      <c r="E24" s="549">
        <f>'FC-3_1_INF_ADIC_CPyG'!G91</f>
        <v>439000</v>
      </c>
      <c r="F24" s="290">
        <f>E24/$E$33</f>
        <v>0.019612578932527172</v>
      </c>
      <c r="G24" s="180"/>
      <c r="I24" s="393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6"/>
    </row>
    <row r="25" spans="2:22" s="181" customFormat="1" ht="22.5" customHeight="1">
      <c r="B25" s="179"/>
      <c r="C25" s="185" t="s">
        <v>820</v>
      </c>
      <c r="D25" s="255" t="s">
        <v>829</v>
      </c>
      <c r="E25" s="549">
        <f>+'FC-3_1_INF_ADIC_CPyG'!G88+'FC-3_1_INF_ADIC_CPyG'!G89+'FC-3_1_INF_ADIC_CPyG'!G90+'FC-3_1_INF_ADIC_CPyG'!G93</f>
        <v>509332.03</v>
      </c>
      <c r="F25" s="291">
        <f>E25/$E$33</f>
        <v>0.022754703055214803</v>
      </c>
      <c r="G25" s="180"/>
      <c r="I25" s="393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6"/>
    </row>
    <row r="26" spans="2:22" s="181" customFormat="1" ht="22.5" customHeight="1">
      <c r="B26" s="179"/>
      <c r="C26" s="270" t="s">
        <v>821</v>
      </c>
      <c r="D26" s="256" t="s">
        <v>828</v>
      </c>
      <c r="E26" s="550">
        <f>+'FC-3_1_INF_ADIC_CPyG'!G92</f>
        <v>533147.79</v>
      </c>
      <c r="F26" s="292">
        <f>E26/$E$33</f>
        <v>0.023818685909060184</v>
      </c>
      <c r="G26" s="180"/>
      <c r="I26" s="393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6"/>
    </row>
    <row r="27" spans="2:22" s="181" customFormat="1" ht="9" customHeight="1">
      <c r="B27" s="179"/>
      <c r="C27" s="21"/>
      <c r="D27" s="147"/>
      <c r="E27" s="143"/>
      <c r="F27" s="293"/>
      <c r="G27" s="180"/>
      <c r="I27" s="393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6"/>
    </row>
    <row r="28" spans="2:22" s="285" customFormat="1" ht="22.5" customHeight="1">
      <c r="B28" s="283"/>
      <c r="C28" s="1447" t="s">
        <v>830</v>
      </c>
      <c r="D28" s="1448"/>
      <c r="E28" s="286">
        <f>SUM(E29:E31)</f>
        <v>0</v>
      </c>
      <c r="F28" s="294">
        <f>E28/$E$33</f>
        <v>0</v>
      </c>
      <c r="G28" s="284"/>
      <c r="I28" s="393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6"/>
    </row>
    <row r="29" spans="2:22" s="181" customFormat="1" ht="22.5" customHeight="1">
      <c r="B29" s="179"/>
      <c r="C29" s="185" t="s">
        <v>819</v>
      </c>
      <c r="D29" s="1206"/>
      <c r="E29" s="457"/>
      <c r="F29" s="290">
        <f>E29/$E$33</f>
        <v>0</v>
      </c>
      <c r="G29" s="180"/>
      <c r="I29" s="393" t="s">
        <v>148</v>
      </c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6"/>
    </row>
    <row r="30" spans="2:22" s="181" customFormat="1" ht="22.5" customHeight="1">
      <c r="B30" s="179"/>
      <c r="C30" s="185" t="s">
        <v>820</v>
      </c>
      <c r="D30" s="1206"/>
      <c r="E30" s="457"/>
      <c r="F30" s="291">
        <f>E30/$E$33</f>
        <v>0</v>
      </c>
      <c r="G30" s="180"/>
      <c r="I30" s="393" t="s">
        <v>148</v>
      </c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6"/>
    </row>
    <row r="31" spans="2:22" s="181" customFormat="1" ht="22.5" customHeight="1">
      <c r="B31" s="179"/>
      <c r="C31" s="270" t="s">
        <v>821</v>
      </c>
      <c r="D31" s="377"/>
      <c r="E31" s="460"/>
      <c r="F31" s="292">
        <f>E31/$E$33</f>
        <v>0</v>
      </c>
      <c r="G31" s="180"/>
      <c r="I31" s="393" t="s">
        <v>148</v>
      </c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6"/>
    </row>
    <row r="32" spans="2:22" s="181" customFormat="1" ht="22.5" customHeight="1">
      <c r="B32" s="179"/>
      <c r="C32" s="147"/>
      <c r="D32" s="206"/>
      <c r="E32" s="208"/>
      <c r="F32" s="287"/>
      <c r="G32" s="180"/>
      <c r="I32" s="393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6"/>
    </row>
    <row r="33" spans="2:22" s="181" customFormat="1" ht="22.5" customHeight="1" thickBot="1">
      <c r="B33" s="179"/>
      <c r="C33" s="1449" t="s">
        <v>831</v>
      </c>
      <c r="D33" s="1450"/>
      <c r="E33" s="282">
        <f>E28+E23+E21+E16</f>
        <v>22383593.79</v>
      </c>
      <c r="F33" s="288">
        <f>E33/E33</f>
        <v>1</v>
      </c>
      <c r="G33" s="180"/>
      <c r="I33" s="393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6"/>
    </row>
    <row r="34" spans="2:22" ht="22.5" customHeight="1">
      <c r="B34" s="114"/>
      <c r="C34" s="147"/>
      <c r="D34" s="206"/>
      <c r="E34" s="208"/>
      <c r="F34" s="209"/>
      <c r="G34" s="103"/>
      <c r="I34" s="393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6"/>
    </row>
    <row r="35" spans="2:22" ht="22.5" customHeight="1">
      <c r="B35" s="114"/>
      <c r="C35" s="147"/>
      <c r="D35" s="206"/>
      <c r="E35" s="208"/>
      <c r="F35" s="209"/>
      <c r="G35" s="103"/>
      <c r="I35" s="393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6"/>
    </row>
    <row r="36" spans="2:22" ht="22.5" customHeight="1">
      <c r="B36" s="114"/>
      <c r="C36" s="147"/>
      <c r="D36" s="206"/>
      <c r="E36" s="208"/>
      <c r="F36" s="209"/>
      <c r="G36" s="103"/>
      <c r="I36" s="393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6"/>
    </row>
    <row r="37" spans="2:22" ht="22.5" customHeight="1">
      <c r="B37" s="114"/>
      <c r="C37" s="147"/>
      <c r="D37" s="206"/>
      <c r="E37" s="208"/>
      <c r="F37" s="209"/>
      <c r="G37" s="103"/>
      <c r="I37" s="393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6"/>
    </row>
    <row r="38" spans="2:22" ht="22.5" customHeight="1">
      <c r="B38" s="114"/>
      <c r="C38" s="147"/>
      <c r="D38" s="206"/>
      <c r="E38" s="208"/>
      <c r="F38" s="209"/>
      <c r="G38" s="103"/>
      <c r="I38" s="393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6"/>
    </row>
    <row r="39" spans="2:22" ht="22.5" customHeight="1">
      <c r="B39" s="114"/>
      <c r="C39" s="206"/>
      <c r="D39" s="206"/>
      <c r="E39" s="207"/>
      <c r="F39" s="93"/>
      <c r="G39" s="103"/>
      <c r="I39" s="393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6"/>
    </row>
    <row r="40" spans="2:22" ht="22.5" customHeight="1" thickBot="1">
      <c r="B40" s="118"/>
      <c r="C40" s="1299"/>
      <c r="D40" s="1299"/>
      <c r="E40" s="52"/>
      <c r="F40" s="119"/>
      <c r="G40" s="120"/>
      <c r="I40" s="387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9"/>
    </row>
    <row r="41" spans="3:8" ht="22.5" customHeight="1">
      <c r="C41" s="101"/>
      <c r="D41" s="101"/>
      <c r="E41" s="102"/>
      <c r="F41" s="102"/>
      <c r="H41" s="94" t="s">
        <v>83</v>
      </c>
    </row>
    <row r="42" spans="3:6" ht="12.75">
      <c r="C42" s="121" t="s">
        <v>286</v>
      </c>
      <c r="D42" s="101"/>
      <c r="E42" s="102"/>
      <c r="F42" s="92" t="s">
        <v>282</v>
      </c>
    </row>
    <row r="43" spans="3:6" ht="12.75">
      <c r="C43" s="122" t="s">
        <v>287</v>
      </c>
      <c r="D43" s="101"/>
      <c r="E43" s="102"/>
      <c r="F43" s="102"/>
    </row>
    <row r="44" spans="3:6" ht="12.75">
      <c r="C44" s="122" t="s">
        <v>288</v>
      </c>
      <c r="D44" s="101"/>
      <c r="E44" s="102"/>
      <c r="F44" s="102"/>
    </row>
    <row r="45" spans="3:6" ht="12.75">
      <c r="C45" s="122" t="s">
        <v>289</v>
      </c>
      <c r="D45" s="101"/>
      <c r="E45" s="102"/>
      <c r="F45" s="102"/>
    </row>
    <row r="46" spans="3:6" ht="12.75">
      <c r="C46" s="122" t="s">
        <v>290</v>
      </c>
      <c r="D46" s="101"/>
      <c r="E46" s="102"/>
      <c r="F46" s="102"/>
    </row>
    <row r="47" spans="3:6" ht="22.5" customHeight="1">
      <c r="C47" s="101"/>
      <c r="D47" s="101"/>
      <c r="E47" s="102"/>
      <c r="F47" s="102"/>
    </row>
    <row r="48" spans="3:6" ht="22.5" customHeight="1">
      <c r="C48" s="101"/>
      <c r="D48" s="101"/>
      <c r="E48" s="102"/>
      <c r="F48" s="102"/>
    </row>
    <row r="49" spans="3:6" ht="22.5" customHeight="1">
      <c r="C49" s="101"/>
      <c r="D49" s="101"/>
      <c r="E49" s="102"/>
      <c r="F49" s="102"/>
    </row>
    <row r="50" spans="3:6" ht="22.5" customHeight="1">
      <c r="C50" s="101"/>
      <c r="D50" s="101"/>
      <c r="E50" s="102"/>
      <c r="F50" s="102"/>
    </row>
    <row r="51" spans="5:6" ht="22.5" customHeight="1">
      <c r="E51" s="102"/>
      <c r="F51" s="102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27">
      <selection activeCell="E42" sqref="E42"/>
    </sheetView>
  </sheetViews>
  <sheetFormatPr defaultColWidth="10.6640625" defaultRowHeight="22.5" customHeight="1"/>
  <cols>
    <col min="1" max="1" width="4.3359375" style="94" bestFit="1" customWidth="1"/>
    <col min="2" max="2" width="3.3359375" style="94" customWidth="1"/>
    <col min="3" max="3" width="13.3359375" style="94" customWidth="1"/>
    <col min="4" max="4" width="67.99609375" style="94" customWidth="1"/>
    <col min="5" max="5" width="16.6640625" style="95" customWidth="1"/>
    <col min="6" max="6" width="3.3359375" style="94" customWidth="1"/>
    <col min="7" max="7" width="10.6640625" style="94" customWidth="1"/>
    <col min="8" max="8" width="13.6640625" style="94" customWidth="1"/>
    <col min="9" max="16384" width="10.6640625" style="94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94" t="s">
        <v>82</v>
      </c>
    </row>
    <row r="5" spans="2:6" ht="9" customHeight="1">
      <c r="B5" s="96"/>
      <c r="C5" s="97"/>
      <c r="D5" s="97"/>
      <c r="E5" s="98"/>
      <c r="F5" s="99"/>
    </row>
    <row r="6" spans="2:6" ht="30" customHeight="1">
      <c r="B6" s="100"/>
      <c r="C6" s="64" t="s">
        <v>216</v>
      </c>
      <c r="D6" s="101"/>
      <c r="E6" s="1285">
        <f>ejercicio</f>
        <v>2020</v>
      </c>
      <c r="F6" s="103"/>
    </row>
    <row r="7" spans="2:6" ht="30" customHeight="1">
      <c r="B7" s="100"/>
      <c r="C7" s="64" t="s">
        <v>217</v>
      </c>
      <c r="D7" s="101"/>
      <c r="E7" s="1285"/>
      <c r="F7" s="103"/>
    </row>
    <row r="8" spans="2:6" ht="30" customHeight="1">
      <c r="B8" s="100"/>
      <c r="C8" s="104"/>
      <c r="D8" s="101"/>
      <c r="E8" s="105"/>
      <c r="F8" s="103"/>
    </row>
    <row r="9" spans="2:6" s="181" customFormat="1" ht="30" customHeight="1">
      <c r="B9" s="179"/>
      <c r="C9" s="39" t="s">
        <v>218</v>
      </c>
      <c r="D9" s="1300" t="str">
        <f>Entidad</f>
        <v>INSTITUTO TECNOLOGICO Y DE ENERGIAS RENOVABLES S.A.</v>
      </c>
      <c r="E9" s="1300"/>
      <c r="F9" s="180"/>
    </row>
    <row r="10" spans="2:6" ht="6.75" customHeight="1">
      <c r="B10" s="100"/>
      <c r="C10" s="101"/>
      <c r="D10" s="101"/>
      <c r="E10" s="102"/>
      <c r="F10" s="103"/>
    </row>
    <row r="11" spans="2:6" s="112" customFormat="1" ht="30" customHeight="1">
      <c r="B11" s="108"/>
      <c r="C11" s="109" t="s">
        <v>832</v>
      </c>
      <c r="D11" s="109"/>
      <c r="E11" s="110"/>
      <c r="F11" s="111"/>
    </row>
    <row r="12" spans="2:6" s="112" customFormat="1" ht="30" customHeight="1">
      <c r="B12" s="108"/>
      <c r="C12" s="1369"/>
      <c r="D12" s="1369"/>
      <c r="E12" s="93"/>
      <c r="F12" s="111"/>
    </row>
    <row r="13" spans="2:6" ht="9" customHeight="1">
      <c r="B13" s="114"/>
      <c r="C13" s="147"/>
      <c r="D13" s="147"/>
      <c r="E13" s="93"/>
      <c r="F13" s="103"/>
    </row>
    <row r="14" spans="2:6" s="242" customFormat="1" ht="24" customHeight="1">
      <c r="B14" s="239"/>
      <c r="C14" s="1360" t="s">
        <v>847</v>
      </c>
      <c r="D14" s="1362"/>
      <c r="E14" s="258" t="s">
        <v>699</v>
      </c>
      <c r="F14" s="241"/>
    </row>
    <row r="15" spans="2:6" ht="9" customHeight="1">
      <c r="B15" s="114"/>
      <c r="C15" s="63"/>
      <c r="D15" s="147"/>
      <c r="E15" s="93"/>
      <c r="F15" s="103"/>
    </row>
    <row r="16" spans="2:8" s="181" customFormat="1" ht="22.5" customHeight="1">
      <c r="B16" s="179"/>
      <c r="C16" s="280" t="s">
        <v>398</v>
      </c>
      <c r="D16" s="220" t="s">
        <v>833</v>
      </c>
      <c r="E16" s="166">
        <f>'_FC-90_DETALLE'!H16</f>
        <v>0</v>
      </c>
      <c r="F16" s="180"/>
      <c r="H16" s="1284"/>
    </row>
    <row r="17" spans="2:8" s="181" customFormat="1" ht="22.5" customHeight="1">
      <c r="B17" s="179"/>
      <c r="C17" s="185" t="s">
        <v>408</v>
      </c>
      <c r="D17" s="255" t="s">
        <v>834</v>
      </c>
      <c r="E17" s="186">
        <f>'_FC-90_DETALLE'!H17</f>
        <v>0</v>
      </c>
      <c r="F17" s="180"/>
      <c r="H17" s="1284"/>
    </row>
    <row r="18" spans="2:8" s="181" customFormat="1" ht="22.5" customHeight="1">
      <c r="B18" s="179"/>
      <c r="C18" s="185" t="s">
        <v>413</v>
      </c>
      <c r="D18" s="255" t="s">
        <v>835</v>
      </c>
      <c r="E18" s="186">
        <f>'_FC-90_DETALLE'!H18</f>
        <v>20902113.97</v>
      </c>
      <c r="F18" s="180"/>
      <c r="H18" s="1284"/>
    </row>
    <row r="19" spans="2:8" s="181" customFormat="1" ht="22.5" customHeight="1">
      <c r="B19" s="179"/>
      <c r="C19" s="185" t="s">
        <v>417</v>
      </c>
      <c r="D19" s="255" t="s">
        <v>836</v>
      </c>
      <c r="E19" s="186">
        <f>'_FC-90_DETALLE'!H26</f>
        <v>1042479.8200000001</v>
      </c>
      <c r="F19" s="180"/>
      <c r="H19" s="1284"/>
    </row>
    <row r="20" spans="2:8" s="181" customFormat="1" ht="22.5" customHeight="1">
      <c r="B20" s="179"/>
      <c r="C20" s="270" t="s">
        <v>425</v>
      </c>
      <c r="D20" s="256" t="s">
        <v>837</v>
      </c>
      <c r="E20" s="167">
        <f>'_FC-90_DETALLE'!H31</f>
        <v>2318642.4299999997</v>
      </c>
      <c r="F20" s="180"/>
      <c r="H20" s="1284"/>
    </row>
    <row r="21" spans="2:8" s="181" customFormat="1" ht="22.5" customHeight="1">
      <c r="B21" s="179"/>
      <c r="C21" s="1447" t="s">
        <v>838</v>
      </c>
      <c r="D21" s="1448"/>
      <c r="E21" s="286">
        <f>SUM(E16:E20)</f>
        <v>24263236.22</v>
      </c>
      <c r="F21" s="180"/>
      <c r="H21" s="1284"/>
    </row>
    <row r="22" spans="2:8" s="181" customFormat="1" ht="9" customHeight="1">
      <c r="B22" s="179"/>
      <c r="C22" s="21"/>
      <c r="D22" s="147"/>
      <c r="E22" s="143"/>
      <c r="F22" s="180"/>
      <c r="H22" s="1284"/>
    </row>
    <row r="23" spans="2:8" s="181" customFormat="1" ht="22.5" customHeight="1">
      <c r="B23" s="179"/>
      <c r="C23" s="280" t="s">
        <v>428</v>
      </c>
      <c r="D23" s="220" t="s">
        <v>839</v>
      </c>
      <c r="E23" s="166">
        <f>'_FC-90_DETALLE'!H41</f>
        <v>0</v>
      </c>
      <c r="F23" s="180"/>
      <c r="H23" s="1284"/>
    </row>
    <row r="24" spans="2:8" s="181" customFormat="1" ht="22.5" customHeight="1">
      <c r="B24" s="179"/>
      <c r="C24" s="185" t="s">
        <v>430</v>
      </c>
      <c r="D24" s="255" t="s">
        <v>840</v>
      </c>
      <c r="E24" s="186">
        <f>'_FC-90_DETALLE'!H45</f>
        <v>1380730.1099999999</v>
      </c>
      <c r="F24" s="180"/>
      <c r="H24" s="1284"/>
    </row>
    <row r="25" spans="2:8" s="181" customFormat="1" ht="22.5" customHeight="1">
      <c r="B25" s="179"/>
      <c r="C25" s="1447" t="s">
        <v>841</v>
      </c>
      <c r="D25" s="1448"/>
      <c r="E25" s="286">
        <f>SUM(E23:E24)</f>
        <v>1380730.1099999999</v>
      </c>
      <c r="F25" s="180"/>
      <c r="H25" s="1284"/>
    </row>
    <row r="26" spans="2:8" s="181" customFormat="1" ht="9" customHeight="1">
      <c r="B26" s="179"/>
      <c r="C26" s="21"/>
      <c r="D26" s="147"/>
      <c r="E26" s="143"/>
      <c r="F26" s="180"/>
      <c r="H26" s="1284"/>
    </row>
    <row r="27" spans="2:8" s="181" customFormat="1" ht="22.5" customHeight="1">
      <c r="B27" s="179"/>
      <c r="C27" s="280" t="s">
        <v>481</v>
      </c>
      <c r="D27" s="220" t="s">
        <v>842</v>
      </c>
      <c r="E27" s="166">
        <f>'_FC-90_DETALLE'!H52</f>
        <v>2022083.75</v>
      </c>
      <c r="F27" s="180"/>
      <c r="H27" s="1284"/>
    </row>
    <row r="28" spans="2:8" s="181" customFormat="1" ht="22.5" customHeight="1">
      <c r="B28" s="179"/>
      <c r="C28" s="185" t="s">
        <v>483</v>
      </c>
      <c r="D28" s="255" t="s">
        <v>843</v>
      </c>
      <c r="E28" s="186">
        <f>'_FC-90_DETALLE'!H59</f>
        <v>200000</v>
      </c>
      <c r="F28" s="180"/>
      <c r="H28" s="1284"/>
    </row>
    <row r="29" spans="2:8" s="181" customFormat="1" ht="22.5" customHeight="1">
      <c r="B29" s="179"/>
      <c r="C29" s="1447" t="s">
        <v>844</v>
      </c>
      <c r="D29" s="1448"/>
      <c r="E29" s="286">
        <f>SUM(E27:E28)</f>
        <v>2222083.75</v>
      </c>
      <c r="F29" s="180"/>
      <c r="H29" s="1284"/>
    </row>
    <row r="30" spans="2:8" s="181" customFormat="1" ht="22.5" customHeight="1">
      <c r="B30" s="179"/>
      <c r="C30" s="147"/>
      <c r="D30" s="206"/>
      <c r="E30" s="208"/>
      <c r="F30" s="180"/>
      <c r="H30" s="1284"/>
    </row>
    <row r="31" spans="2:8" s="296" customFormat="1" ht="22.5" customHeight="1" thickBot="1">
      <c r="B31" s="108"/>
      <c r="C31" s="1451" t="s">
        <v>845</v>
      </c>
      <c r="D31" s="1452"/>
      <c r="E31" s="295">
        <f>E21+E25+E29</f>
        <v>27866050.08</v>
      </c>
      <c r="F31" s="111"/>
      <c r="H31" s="1284"/>
    </row>
    <row r="32" spans="2:8" s="181" customFormat="1" ht="9" customHeight="1">
      <c r="B32" s="179"/>
      <c r="C32" s="21"/>
      <c r="D32" s="147"/>
      <c r="E32" s="143"/>
      <c r="F32" s="180"/>
      <c r="H32" s="1284"/>
    </row>
    <row r="33" spans="2:8" s="181" customFormat="1" ht="22.5" customHeight="1">
      <c r="B33" s="179"/>
      <c r="C33" s="1447" t="s">
        <v>846</v>
      </c>
      <c r="D33" s="1448"/>
      <c r="E33" s="286">
        <f>'_FC-90_DETALLE'!H72</f>
        <v>1246995.014</v>
      </c>
      <c r="F33" s="180"/>
      <c r="H33" s="1284"/>
    </row>
    <row r="34" spans="2:8" s="181" customFormat="1" ht="9" customHeight="1">
      <c r="B34" s="179"/>
      <c r="C34" s="21"/>
      <c r="D34" s="147"/>
      <c r="E34" s="143"/>
      <c r="F34" s="180"/>
      <c r="H34" s="1284"/>
    </row>
    <row r="35" spans="2:8" s="296" customFormat="1" ht="22.5" customHeight="1" thickBot="1">
      <c r="B35" s="108"/>
      <c r="C35" s="1451" t="s">
        <v>845</v>
      </c>
      <c r="D35" s="1452"/>
      <c r="E35" s="295">
        <f>E31+E33</f>
        <v>29113045.093999997</v>
      </c>
      <c r="F35" s="111"/>
      <c r="H35" s="1284"/>
    </row>
    <row r="36" spans="2:8" s="181" customFormat="1" ht="22.5" customHeight="1">
      <c r="B36" s="179"/>
      <c r="C36" s="297"/>
      <c r="D36" s="297"/>
      <c r="E36" s="298"/>
      <c r="F36" s="180"/>
      <c r="H36" s="1284"/>
    </row>
    <row r="37" spans="2:8" s="242" customFormat="1" ht="24" customHeight="1">
      <c r="B37" s="239"/>
      <c r="C37" s="1360" t="s">
        <v>848</v>
      </c>
      <c r="D37" s="1362"/>
      <c r="E37" s="258" t="s">
        <v>699</v>
      </c>
      <c r="F37" s="241"/>
      <c r="H37" s="1284"/>
    </row>
    <row r="38" spans="2:8" ht="9" customHeight="1">
      <c r="B38" s="114"/>
      <c r="C38" s="63"/>
      <c r="D38" s="147"/>
      <c r="E38" s="93"/>
      <c r="F38" s="103"/>
      <c r="H38" s="1284"/>
    </row>
    <row r="39" spans="2:8" s="181" customFormat="1" ht="22.5" customHeight="1">
      <c r="B39" s="179"/>
      <c r="C39" s="280" t="s">
        <v>398</v>
      </c>
      <c r="D39" s="220" t="s">
        <v>849</v>
      </c>
      <c r="E39" s="166">
        <f>'_FC-90_DETALLE'!H88</f>
        <v>6581379.720000001</v>
      </c>
      <c r="F39" s="180"/>
      <c r="H39" s="1284"/>
    </row>
    <row r="40" spans="2:8" s="181" customFormat="1" ht="22.5" customHeight="1">
      <c r="B40" s="179"/>
      <c r="C40" s="185" t="s">
        <v>408</v>
      </c>
      <c r="D40" s="255" t="s">
        <v>850</v>
      </c>
      <c r="E40" s="186">
        <f>'_FC-90_DETALLE'!H93</f>
        <v>7924352.41</v>
      </c>
      <c r="F40" s="180"/>
      <c r="H40" s="1284"/>
    </row>
    <row r="41" spans="2:8" s="181" customFormat="1" ht="22.5" customHeight="1">
      <c r="B41" s="179"/>
      <c r="C41" s="185" t="s">
        <v>413</v>
      </c>
      <c r="D41" s="255" t="s">
        <v>602</v>
      </c>
      <c r="E41" s="186">
        <f>'_FC-90_DETALLE'!H106</f>
        <v>132228.61</v>
      </c>
      <c r="F41" s="180"/>
      <c r="H41" s="1284"/>
    </row>
    <row r="42" spans="2:8" s="181" customFormat="1" ht="22.5" customHeight="1">
      <c r="B42" s="179"/>
      <c r="C42" s="185" t="s">
        <v>417</v>
      </c>
      <c r="D42" s="255" t="s">
        <v>851</v>
      </c>
      <c r="E42" s="186">
        <f>'_FC-90_DETALLE'!H112</f>
        <v>1873025.82</v>
      </c>
      <c r="F42" s="180"/>
      <c r="H42" s="1284"/>
    </row>
    <row r="43" spans="2:8" s="181" customFormat="1" ht="22.5" customHeight="1">
      <c r="B43" s="179"/>
      <c r="C43" s="1447" t="s">
        <v>852</v>
      </c>
      <c r="D43" s="1448"/>
      <c r="E43" s="286">
        <f>SUM(E39:E42)</f>
        <v>16510986.56</v>
      </c>
      <c r="F43" s="180"/>
      <c r="H43" s="1284"/>
    </row>
    <row r="44" spans="2:8" s="181" customFormat="1" ht="9" customHeight="1">
      <c r="B44" s="179"/>
      <c r="C44" s="21"/>
      <c r="D44" s="147"/>
      <c r="E44" s="143"/>
      <c r="F44" s="180"/>
      <c r="H44" s="1284"/>
    </row>
    <row r="45" spans="2:8" s="181" customFormat="1" ht="22.5" customHeight="1">
      <c r="B45" s="179"/>
      <c r="C45" s="280" t="s">
        <v>428</v>
      </c>
      <c r="D45" s="220" t="s">
        <v>853</v>
      </c>
      <c r="E45" s="166">
        <f>'_FC-90_DETALLE'!H118</f>
        <v>4910267.75346974</v>
      </c>
      <c r="F45" s="180"/>
      <c r="H45" s="1284"/>
    </row>
    <row r="46" spans="2:8" s="181" customFormat="1" ht="22.5" customHeight="1">
      <c r="B46" s="179"/>
      <c r="C46" s="185" t="s">
        <v>430</v>
      </c>
      <c r="D46" s="255" t="s">
        <v>840</v>
      </c>
      <c r="E46" s="186">
        <f>'_FC-90_DETALLE'!H123</f>
        <v>0</v>
      </c>
      <c r="F46" s="180"/>
      <c r="H46" s="1284"/>
    </row>
    <row r="47" spans="2:8" s="181" customFormat="1" ht="22.5" customHeight="1">
      <c r="B47" s="179"/>
      <c r="C47" s="1447" t="s">
        <v>854</v>
      </c>
      <c r="D47" s="1448"/>
      <c r="E47" s="286">
        <f>SUM(E45:E46)</f>
        <v>4910267.75346974</v>
      </c>
      <c r="F47" s="180"/>
      <c r="H47" s="1284"/>
    </row>
    <row r="48" spans="2:8" s="181" customFormat="1" ht="9" customHeight="1">
      <c r="B48" s="179"/>
      <c r="C48" s="21"/>
      <c r="D48" s="147"/>
      <c r="E48" s="143"/>
      <c r="F48" s="180"/>
      <c r="H48" s="1284"/>
    </row>
    <row r="49" spans="2:8" s="181" customFormat="1" ht="22.5" customHeight="1">
      <c r="B49" s="179"/>
      <c r="C49" s="280" t="s">
        <v>481</v>
      </c>
      <c r="D49" s="220" t="s">
        <v>842</v>
      </c>
      <c r="E49" s="166">
        <f>'_FC-90_DETALLE'!H129</f>
        <v>1446768.8199999996</v>
      </c>
      <c r="F49" s="180"/>
      <c r="H49" s="1284"/>
    </row>
    <row r="50" spans="2:8" s="181" customFormat="1" ht="22.5" customHeight="1">
      <c r="B50" s="179"/>
      <c r="C50" s="185" t="s">
        <v>483</v>
      </c>
      <c r="D50" s="255" t="s">
        <v>843</v>
      </c>
      <c r="E50" s="186">
        <f>'_FC-90_DETALLE'!H136</f>
        <v>7310008.9399999995</v>
      </c>
      <c r="F50" s="180"/>
      <c r="H50" s="1284"/>
    </row>
    <row r="51" spans="2:8" s="181" customFormat="1" ht="22.5" customHeight="1">
      <c r="B51" s="179"/>
      <c r="C51" s="1447" t="s">
        <v>855</v>
      </c>
      <c r="D51" s="1448"/>
      <c r="E51" s="286">
        <f>SUM(E49:E50)</f>
        <v>8756777.76</v>
      </c>
      <c r="F51" s="180"/>
      <c r="H51" s="1284"/>
    </row>
    <row r="52" spans="2:8" s="181" customFormat="1" ht="9" customHeight="1">
      <c r="B52" s="179"/>
      <c r="C52" s="147"/>
      <c r="D52" s="206"/>
      <c r="E52" s="208"/>
      <c r="F52" s="180"/>
      <c r="H52" s="1284"/>
    </row>
    <row r="53" spans="2:8" s="296" customFormat="1" ht="22.5" customHeight="1" thickBot="1">
      <c r="B53" s="108"/>
      <c r="C53" s="1451" t="s">
        <v>856</v>
      </c>
      <c r="D53" s="1452"/>
      <c r="E53" s="295">
        <f>E43+E47+E51</f>
        <v>30178032.073469743</v>
      </c>
      <c r="F53" s="111"/>
      <c r="H53" s="1284"/>
    </row>
    <row r="54" spans="2:8" s="181" customFormat="1" ht="9" customHeight="1">
      <c r="B54" s="179"/>
      <c r="C54" s="21"/>
      <c r="D54" s="147"/>
      <c r="E54" s="143"/>
      <c r="F54" s="180"/>
      <c r="H54" s="1284"/>
    </row>
    <row r="55" spans="2:8" s="181" customFormat="1" ht="24" customHeight="1">
      <c r="B55" s="179"/>
      <c r="C55" s="1447" t="s">
        <v>857</v>
      </c>
      <c r="D55" s="1448"/>
      <c r="E55" s="286">
        <f>'_FC-90_DETALLE'!H152</f>
        <v>6758775.75</v>
      </c>
      <c r="F55" s="180"/>
      <c r="H55" s="1284"/>
    </row>
    <row r="56" spans="2:8" s="181" customFormat="1" ht="9" customHeight="1">
      <c r="B56" s="179"/>
      <c r="C56" s="21"/>
      <c r="D56" s="147"/>
      <c r="E56" s="143"/>
      <c r="F56" s="180"/>
      <c r="H56" s="1284"/>
    </row>
    <row r="57" spans="2:8" s="181" customFormat="1" ht="24" customHeight="1" thickBot="1">
      <c r="B57" s="179"/>
      <c r="C57" s="1451" t="s">
        <v>856</v>
      </c>
      <c r="D57" s="1452"/>
      <c r="E57" s="295">
        <f>E53+E55</f>
        <v>36936807.82346974</v>
      </c>
      <c r="F57" s="180"/>
      <c r="H57" s="1284"/>
    </row>
    <row r="58" spans="2:8" s="181" customFormat="1" ht="24" customHeight="1">
      <c r="B58" s="179"/>
      <c r="C58" s="21"/>
      <c r="D58" s="147"/>
      <c r="E58" s="143"/>
      <c r="F58" s="180"/>
      <c r="H58" s="1284"/>
    </row>
    <row r="59" spans="2:8" s="181" customFormat="1" ht="24" customHeight="1" thickBot="1">
      <c r="B59" s="179"/>
      <c r="C59" s="1163" t="s">
        <v>145</v>
      </c>
      <c r="D59" s="1164"/>
      <c r="E59" s="1165">
        <f>E35-E57</f>
        <v>-7823762.729469746</v>
      </c>
      <c r="F59" s="180"/>
      <c r="H59" s="1284"/>
    </row>
    <row r="60" spans="2:8" s="181" customFormat="1" ht="24" customHeight="1" thickTop="1">
      <c r="B60" s="179"/>
      <c r="C60" s="21"/>
      <c r="D60" s="147"/>
      <c r="E60" s="143"/>
      <c r="F60" s="180"/>
      <c r="H60" s="1284"/>
    </row>
    <row r="61" spans="2:8" s="181" customFormat="1" ht="24" customHeight="1" thickBot="1">
      <c r="B61" s="179"/>
      <c r="C61" s="1163" t="s">
        <v>146</v>
      </c>
      <c r="D61" s="1164"/>
      <c r="E61" s="1165">
        <f>'_FC-90_DETALLE'!H170</f>
        <v>7823762.7294700015</v>
      </c>
      <c r="F61" s="180"/>
      <c r="H61" s="1284"/>
    </row>
    <row r="62" spans="2:8" s="181" customFormat="1" ht="24" customHeight="1" thickTop="1">
      <c r="B62" s="179"/>
      <c r="C62" s="21"/>
      <c r="D62" s="147"/>
      <c r="E62" s="143"/>
      <c r="F62" s="180"/>
      <c r="H62" s="1284"/>
    </row>
    <row r="63" spans="2:8" s="181" customFormat="1" ht="24" customHeight="1" thickBot="1">
      <c r="B63" s="179"/>
      <c r="C63" s="1163" t="s">
        <v>147</v>
      </c>
      <c r="D63" s="1164"/>
      <c r="E63" s="1165">
        <f>+E59+E61</f>
        <v>2.551823854446411E-07</v>
      </c>
      <c r="F63" s="180"/>
      <c r="H63" s="1284"/>
    </row>
    <row r="64" spans="2:8" ht="22.5" customHeight="1" thickBot="1" thickTop="1">
      <c r="B64" s="118"/>
      <c r="C64" s="1299"/>
      <c r="D64" s="1299"/>
      <c r="E64" s="119"/>
      <c r="F64" s="120"/>
      <c r="H64" s="181"/>
    </row>
    <row r="65" spans="3:7" ht="22.5" customHeight="1">
      <c r="C65" s="101"/>
      <c r="D65" s="101"/>
      <c r="E65" s="102"/>
      <c r="G65" s="94" t="s">
        <v>83</v>
      </c>
    </row>
    <row r="66" spans="3:5" ht="12.75">
      <c r="C66" s="121" t="s">
        <v>286</v>
      </c>
      <c r="D66" s="101"/>
      <c r="E66" s="92" t="s">
        <v>282</v>
      </c>
    </row>
    <row r="67" spans="3:5" ht="12.75">
      <c r="C67" s="122" t="s">
        <v>287</v>
      </c>
      <c r="D67" s="101"/>
      <c r="E67" s="102"/>
    </row>
    <row r="68" spans="3:5" ht="12.75">
      <c r="C68" s="122" t="s">
        <v>288</v>
      </c>
      <c r="D68" s="101"/>
      <c r="E68" s="102"/>
    </row>
    <row r="69" spans="3:5" ht="12.75">
      <c r="C69" s="122" t="s">
        <v>289</v>
      </c>
      <c r="D69" s="101"/>
      <c r="E69" s="102"/>
    </row>
    <row r="70" spans="3:5" ht="12.75">
      <c r="C70" s="122" t="s">
        <v>290</v>
      </c>
      <c r="D70" s="101"/>
      <c r="E70" s="102"/>
    </row>
    <row r="71" spans="3:5" ht="22.5" customHeight="1">
      <c r="C71" s="101"/>
      <c r="D71" s="101"/>
      <c r="E71" s="102"/>
    </row>
    <row r="72" spans="3:5" ht="22.5" customHeight="1">
      <c r="C72" s="101"/>
      <c r="D72" s="101"/>
      <c r="E72" s="102"/>
    </row>
    <row r="73" spans="3:5" ht="22.5" customHeight="1">
      <c r="C73" s="101"/>
      <c r="D73" s="101"/>
      <c r="E73" s="102"/>
    </row>
    <row r="74" spans="3:5" ht="22.5" customHeight="1">
      <c r="C74" s="101"/>
      <c r="D74" s="101"/>
      <c r="E74" s="102"/>
    </row>
    <row r="75" ht="22.5" customHeight="1">
      <c r="E75" s="102"/>
    </row>
  </sheetData>
  <sheetProtection sheet="1" objects="1" scenarios="1"/>
  <mergeCells count="18">
    <mergeCell ref="C47:D47"/>
    <mergeCell ref="C51:D51"/>
    <mergeCell ref="C53:D53"/>
    <mergeCell ref="C64:D64"/>
    <mergeCell ref="C55:D55"/>
    <mergeCell ref="C57:D57"/>
    <mergeCell ref="C29:D29"/>
    <mergeCell ref="C31:D31"/>
    <mergeCell ref="C37:D37"/>
    <mergeCell ref="C43:D43"/>
    <mergeCell ref="C33:D33"/>
    <mergeCell ref="C35:D35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5"/>
  <sheetViews>
    <sheetView zoomScalePageLayoutView="0" workbookViewId="0" topLeftCell="A1">
      <pane xSplit="4" ySplit="14" topLeftCell="E31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G112" sqref="G112"/>
    </sheetView>
  </sheetViews>
  <sheetFormatPr defaultColWidth="10.6640625" defaultRowHeight="22.5" customHeight="1"/>
  <cols>
    <col min="1" max="2" width="3.3359375" style="559" customWidth="1"/>
    <col min="3" max="3" width="13.3359375" style="559" customWidth="1"/>
    <col min="4" max="4" width="88.3359375" style="559" customWidth="1"/>
    <col min="5" max="7" width="21.6640625" style="956" customWidth="1"/>
    <col min="8" max="8" width="21.6640625" style="559" customWidth="1"/>
    <col min="9" max="9" width="3.3359375" style="559" customWidth="1"/>
    <col min="10" max="10" width="9.99609375" style="559" customWidth="1"/>
    <col min="11" max="11" width="61.99609375" style="559" customWidth="1"/>
    <col min="12" max="16384" width="10.6640625" style="559" customWidth="1"/>
  </cols>
  <sheetData>
    <row r="1" ht="33" customHeight="1"/>
    <row r="2" spans="4:7" ht="28.5" customHeight="1">
      <c r="D2" s="299" t="str">
        <f>_GENERAL!D2</f>
        <v>Área de Presidencia, Hacienda y Modernización</v>
      </c>
      <c r="E2" s="958"/>
      <c r="F2" s="958"/>
      <c r="G2" s="958"/>
    </row>
    <row r="3" spans="4:7" ht="28.5" customHeight="1">
      <c r="D3" s="299" t="str">
        <f>_GENERAL!D3</f>
        <v>Dirección Insular de Hacienda</v>
      </c>
      <c r="E3" s="958"/>
      <c r="F3" s="958"/>
      <c r="G3" s="958"/>
    </row>
    <row r="4" ht="18" customHeight="1" thickBot="1"/>
    <row r="5" spans="2:9" ht="12.75">
      <c r="B5" s="959"/>
      <c r="C5" s="562"/>
      <c r="D5" s="562"/>
      <c r="E5" s="960"/>
      <c r="F5" s="960"/>
      <c r="G5" s="960"/>
      <c r="H5" s="562"/>
      <c r="I5" s="961"/>
    </row>
    <row r="6" spans="2:9" ht="15.75">
      <c r="B6" s="962"/>
      <c r="C6" s="963" t="s">
        <v>216</v>
      </c>
      <c r="D6" s="567"/>
      <c r="E6" s="964"/>
      <c r="F6" s="964"/>
      <c r="G6" s="964"/>
      <c r="H6" s="1455">
        <f>ejercicio</f>
        <v>2020</v>
      </c>
      <c r="I6" s="965"/>
    </row>
    <row r="7" spans="2:9" ht="15.75">
      <c r="B7" s="962"/>
      <c r="C7" s="963" t="s">
        <v>217</v>
      </c>
      <c r="D7" s="567"/>
      <c r="E7" s="964"/>
      <c r="F7" s="964"/>
      <c r="G7" s="964"/>
      <c r="H7" s="1455"/>
      <c r="I7" s="965"/>
    </row>
    <row r="8" spans="2:9" ht="12.75">
      <c r="B8" s="962"/>
      <c r="C8" s="966"/>
      <c r="D8" s="567"/>
      <c r="E8" s="964"/>
      <c r="F8" s="964"/>
      <c r="G8" s="964"/>
      <c r="H8" s="942"/>
      <c r="I8" s="965"/>
    </row>
    <row r="9" spans="2:9" s="970" customFormat="1" ht="21.75" customHeight="1">
      <c r="B9" s="967"/>
      <c r="C9" s="968" t="s">
        <v>218</v>
      </c>
      <c r="D9" s="1456" t="str">
        <f>Entidad</f>
        <v>INSTITUTO TECNOLOGICO Y DE ENERGIAS RENOVABLES S.A.</v>
      </c>
      <c r="E9" s="1456"/>
      <c r="F9" s="1456"/>
      <c r="G9" s="1456"/>
      <c r="H9" s="1456"/>
      <c r="I9" s="969"/>
    </row>
    <row r="10" spans="2:9" ht="12.75">
      <c r="B10" s="962"/>
      <c r="C10" s="567"/>
      <c r="D10" s="567"/>
      <c r="E10" s="964"/>
      <c r="F10" s="964"/>
      <c r="G10" s="964"/>
      <c r="H10" s="567"/>
      <c r="I10" s="965"/>
    </row>
    <row r="11" spans="2:9" s="974" customFormat="1" ht="27" customHeight="1">
      <c r="B11" s="971"/>
      <c r="C11" s="576" t="s">
        <v>832</v>
      </c>
      <c r="D11" s="576"/>
      <c r="E11" s="972"/>
      <c r="F11" s="972"/>
      <c r="G11" s="972"/>
      <c r="H11" s="576"/>
      <c r="I11" s="973"/>
    </row>
    <row r="12" spans="2:9" s="974" customFormat="1" ht="18">
      <c r="B12" s="971"/>
      <c r="C12" s="1457"/>
      <c r="D12" s="1457"/>
      <c r="E12" s="958"/>
      <c r="F12" s="958"/>
      <c r="G12" s="958"/>
      <c r="H12" s="578"/>
      <c r="I12" s="973"/>
    </row>
    <row r="13" spans="2:9" ht="18">
      <c r="B13" s="975"/>
      <c r="C13" s="976"/>
      <c r="D13" s="976"/>
      <c r="E13" s="958"/>
      <c r="F13" s="958"/>
      <c r="G13" s="958"/>
      <c r="H13" s="578"/>
      <c r="I13" s="965"/>
    </row>
    <row r="14" spans="2:11" s="980" customFormat="1" ht="23.25">
      <c r="B14" s="977"/>
      <c r="C14" s="1458" t="s">
        <v>847</v>
      </c>
      <c r="D14" s="1459"/>
      <c r="E14" s="978" t="s">
        <v>1175</v>
      </c>
      <c r="F14" s="978" t="s">
        <v>1176</v>
      </c>
      <c r="G14" s="978" t="s">
        <v>46</v>
      </c>
      <c r="H14" s="591" t="s">
        <v>44</v>
      </c>
      <c r="I14" s="979"/>
      <c r="K14" s="591" t="s">
        <v>47</v>
      </c>
    </row>
    <row r="15" spans="2:9" ht="18">
      <c r="B15" s="975"/>
      <c r="C15" s="981"/>
      <c r="D15" s="976"/>
      <c r="E15" s="958"/>
      <c r="F15" s="958"/>
      <c r="G15" s="958"/>
      <c r="H15" s="578"/>
      <c r="I15" s="965"/>
    </row>
    <row r="16" spans="2:11" s="988" customFormat="1" ht="18">
      <c r="B16" s="982"/>
      <c r="C16" s="983" t="s">
        <v>398</v>
      </c>
      <c r="D16" s="984" t="s">
        <v>833</v>
      </c>
      <c r="E16" s="985">
        <v>0</v>
      </c>
      <c r="F16" s="985">
        <v>0</v>
      </c>
      <c r="G16" s="985">
        <v>0</v>
      </c>
      <c r="H16" s="986">
        <f>SUM(E16:G16)</f>
        <v>0</v>
      </c>
      <c r="I16" s="987"/>
      <c r="K16" s="1110"/>
    </row>
    <row r="17" spans="2:11" s="988" customFormat="1" ht="18">
      <c r="B17" s="982"/>
      <c r="C17" s="983" t="s">
        <v>408</v>
      </c>
      <c r="D17" s="984" t="s">
        <v>834</v>
      </c>
      <c r="E17" s="985">
        <v>0</v>
      </c>
      <c r="F17" s="985">
        <v>0</v>
      </c>
      <c r="G17" s="985">
        <v>0</v>
      </c>
      <c r="H17" s="986">
        <f>SUM(E17:G17)</f>
        <v>0</v>
      </c>
      <c r="I17" s="987"/>
      <c r="K17" s="1110"/>
    </row>
    <row r="18" spans="2:11" s="988" customFormat="1" ht="18">
      <c r="B18" s="982"/>
      <c r="C18" s="983" t="s">
        <v>413</v>
      </c>
      <c r="D18" s="984" t="s">
        <v>835</v>
      </c>
      <c r="E18" s="985">
        <f>SUM(E19:E25)</f>
        <v>20902113.97</v>
      </c>
      <c r="F18" s="985">
        <f>SUM(F19:F25)</f>
        <v>0</v>
      </c>
      <c r="G18" s="985">
        <f>SUM(G19:G25)</f>
        <v>0</v>
      </c>
      <c r="H18" s="985">
        <f>SUM(H19:H25)</f>
        <v>20902113.97</v>
      </c>
      <c r="I18" s="987"/>
      <c r="K18" s="1110"/>
    </row>
    <row r="19" spans="2:11" s="995" customFormat="1" ht="18" hidden="1">
      <c r="B19" s="975"/>
      <c r="C19" s="989" t="s">
        <v>256</v>
      </c>
      <c r="D19" s="990" t="s">
        <v>1177</v>
      </c>
      <c r="E19" s="991">
        <f>'FC-3_CPyG'!G16</f>
        <v>20902113.97</v>
      </c>
      <c r="F19" s="992"/>
      <c r="G19" s="1096"/>
      <c r="H19" s="993">
        <f aca="true" t="shared" si="0" ref="H19:H25">SUM(E19:G19)</f>
        <v>20902113.97</v>
      </c>
      <c r="I19" s="994"/>
      <c r="K19" s="1110"/>
    </row>
    <row r="20" spans="2:11" s="995" customFormat="1" ht="18" hidden="1">
      <c r="B20" s="975"/>
      <c r="C20" s="989" t="s">
        <v>262</v>
      </c>
      <c r="D20" s="990" t="s">
        <v>1178</v>
      </c>
      <c r="E20" s="991">
        <f>'FC-3_1_INF_ADIC_CPyG'!G84</f>
        <v>0</v>
      </c>
      <c r="F20" s="992"/>
      <c r="G20" s="1096"/>
      <c r="H20" s="993">
        <f t="shared" si="0"/>
        <v>0</v>
      </c>
      <c r="I20" s="994"/>
      <c r="K20" s="1110"/>
    </row>
    <row r="21" spans="2:11" s="995" customFormat="1" ht="18" hidden="1">
      <c r="B21" s="975"/>
      <c r="C21" s="989" t="s">
        <v>262</v>
      </c>
      <c r="D21" s="990" t="s">
        <v>1179</v>
      </c>
      <c r="E21" s="991">
        <f>'FC-3_1_INF_ADIC_CPyG'!G86</f>
        <v>0</v>
      </c>
      <c r="F21" s="992"/>
      <c r="G21" s="1096"/>
      <c r="H21" s="993">
        <f t="shared" si="0"/>
        <v>0</v>
      </c>
      <c r="I21" s="994"/>
      <c r="K21" s="1110"/>
    </row>
    <row r="22" spans="2:12" s="995" customFormat="1" ht="18" hidden="1">
      <c r="B22" s="975"/>
      <c r="C22" s="989" t="s">
        <v>262</v>
      </c>
      <c r="D22" s="990" t="s">
        <v>163</v>
      </c>
      <c r="E22" s="991">
        <f>'FC-3_1_INF_ADIC_CPyG'!G54</f>
        <v>0</v>
      </c>
      <c r="F22" s="992"/>
      <c r="G22" s="1096"/>
      <c r="H22" s="993">
        <f t="shared" si="0"/>
        <v>0</v>
      </c>
      <c r="I22" s="994"/>
      <c r="K22" s="1110"/>
      <c r="L22" s="996"/>
    </row>
    <row r="23" spans="2:12" s="995" customFormat="1" ht="18" hidden="1">
      <c r="B23" s="975"/>
      <c r="C23" s="989"/>
      <c r="D23" s="990" t="s">
        <v>1180</v>
      </c>
      <c r="E23" s="992"/>
      <c r="F23" s="992"/>
      <c r="G23" s="1096"/>
      <c r="H23" s="993">
        <f t="shared" si="0"/>
        <v>0</v>
      </c>
      <c r="I23" s="994"/>
      <c r="K23" s="1110"/>
      <c r="L23" s="996" t="s">
        <v>100</v>
      </c>
    </row>
    <row r="24" spans="2:12" s="995" customFormat="1" ht="18" hidden="1">
      <c r="B24" s="975"/>
      <c r="C24" s="1105"/>
      <c r="D24" s="1114"/>
      <c r="E24" s="992"/>
      <c r="F24" s="992"/>
      <c r="G24" s="1096"/>
      <c r="H24" s="993">
        <f t="shared" si="0"/>
        <v>0</v>
      </c>
      <c r="I24" s="994"/>
      <c r="K24" s="1110"/>
      <c r="L24" s="996"/>
    </row>
    <row r="25" spans="2:12" s="995" customFormat="1" ht="18" hidden="1">
      <c r="B25" s="975"/>
      <c r="C25" s="1105"/>
      <c r="D25" s="1114"/>
      <c r="E25" s="992"/>
      <c r="F25" s="992"/>
      <c r="G25" s="1096"/>
      <c r="H25" s="993">
        <f t="shared" si="0"/>
        <v>0</v>
      </c>
      <c r="I25" s="994"/>
      <c r="K25" s="1110"/>
      <c r="L25" s="996"/>
    </row>
    <row r="26" spans="2:11" s="988" customFormat="1" ht="18">
      <c r="B26" s="982"/>
      <c r="C26" s="983" t="s">
        <v>417</v>
      </c>
      <c r="D26" s="984" t="s">
        <v>836</v>
      </c>
      <c r="E26" s="985">
        <f>SUM(E27:E30)</f>
        <v>1481479.82</v>
      </c>
      <c r="F26" s="985">
        <f>SUM(F27:F30)</f>
        <v>0</v>
      </c>
      <c r="G26" s="985">
        <f>SUM(G27:G30)</f>
        <v>-439000</v>
      </c>
      <c r="H26" s="985">
        <f>SUM(H27:H30)</f>
        <v>1042479.8200000001</v>
      </c>
      <c r="I26" s="987"/>
      <c r="K26" s="1110"/>
    </row>
    <row r="27" spans="2:11" s="995" customFormat="1" ht="18" hidden="1">
      <c r="B27" s="975"/>
      <c r="C27" s="989" t="s">
        <v>256</v>
      </c>
      <c r="D27" s="990" t="s">
        <v>1181</v>
      </c>
      <c r="E27" s="991">
        <f>'FC-3_CPyG'!G29</f>
        <v>1481479.82</v>
      </c>
      <c r="F27" s="992"/>
      <c r="G27" s="1096">
        <f>G140</f>
        <v>-439000</v>
      </c>
      <c r="H27" s="993">
        <f>SUM(E27:G27)</f>
        <v>1042479.8200000001</v>
      </c>
      <c r="I27" s="994"/>
      <c r="K27" s="1110" t="s">
        <v>1220</v>
      </c>
    </row>
    <row r="28" spans="2:12" s="995" customFormat="1" ht="18" hidden="1">
      <c r="B28" s="975"/>
      <c r="C28" s="989" t="s">
        <v>269</v>
      </c>
      <c r="D28" s="1008" t="s">
        <v>1182</v>
      </c>
      <c r="E28" s="992"/>
      <c r="F28" s="1009">
        <f>'FC-9_TRANS_SUBV'!H99</f>
        <v>0</v>
      </c>
      <c r="G28" s="1096"/>
      <c r="H28" s="993">
        <f>SUM(E28:G28)</f>
        <v>0</v>
      </c>
      <c r="I28" s="994"/>
      <c r="K28" s="1110"/>
      <c r="L28" s="996"/>
    </row>
    <row r="29" spans="2:12" s="995" customFormat="1" ht="18" hidden="1">
      <c r="B29" s="975"/>
      <c r="C29" s="1105"/>
      <c r="D29" s="1114"/>
      <c r="E29" s="992"/>
      <c r="F29" s="992"/>
      <c r="G29" s="1096"/>
      <c r="H29" s="993">
        <f>SUM(E29:G29)</f>
        <v>0</v>
      </c>
      <c r="I29" s="994"/>
      <c r="K29" s="1110"/>
      <c r="L29" s="996"/>
    </row>
    <row r="30" spans="2:11" s="995" customFormat="1" ht="18" hidden="1">
      <c r="B30" s="975"/>
      <c r="C30" s="1107"/>
      <c r="D30" s="1115"/>
      <c r="E30" s="992"/>
      <c r="F30" s="992"/>
      <c r="G30" s="1097"/>
      <c r="H30" s="993">
        <f>SUM(E30:G30)</f>
        <v>0</v>
      </c>
      <c r="I30" s="994"/>
      <c r="K30" s="1110"/>
    </row>
    <row r="31" spans="2:11" s="988" customFormat="1" ht="18">
      <c r="B31" s="982"/>
      <c r="C31" s="983" t="s">
        <v>425</v>
      </c>
      <c r="D31" s="984" t="s">
        <v>837</v>
      </c>
      <c r="E31" s="985">
        <f>SUM(E32:E38)</f>
        <v>2318642.4299999997</v>
      </c>
      <c r="F31" s="985">
        <f>SUM(F32:F38)</f>
        <v>0</v>
      </c>
      <c r="G31" s="985">
        <f>SUM(G32:G38)</f>
        <v>0</v>
      </c>
      <c r="H31" s="985">
        <f>SUM(H32:H38)</f>
        <v>2318642.4299999997</v>
      </c>
      <c r="I31" s="987"/>
      <c r="K31" s="1110"/>
    </row>
    <row r="32" spans="2:11" s="995" customFormat="1" ht="18" hidden="1">
      <c r="B32" s="975"/>
      <c r="C32" s="997" t="s">
        <v>262</v>
      </c>
      <c r="D32" s="998" t="s">
        <v>1183</v>
      </c>
      <c r="E32" s="999">
        <f>'FC-3_1_INF_ADIC_CPyG'!G85</f>
        <v>0</v>
      </c>
      <c r="F32" s="992"/>
      <c r="G32" s="1098"/>
      <c r="H32" s="993">
        <f>SUM(E32:G32)</f>
        <v>0</v>
      </c>
      <c r="I32" s="994"/>
      <c r="K32" s="1110"/>
    </row>
    <row r="33" spans="2:11" s="1002" customFormat="1" ht="18" hidden="1">
      <c r="B33" s="1000"/>
      <c r="C33" s="989" t="s">
        <v>256</v>
      </c>
      <c r="D33" s="990" t="s">
        <v>1184</v>
      </c>
      <c r="E33" s="991">
        <f>'FC-3_CPyG'!G52</f>
        <v>1910039.69</v>
      </c>
      <c r="F33" s="992"/>
      <c r="G33" s="1096"/>
      <c r="H33" s="993">
        <f aca="true" t="shared" si="1" ref="H33:H38">SUM(E33:G33)</f>
        <v>1910039.69</v>
      </c>
      <c r="I33" s="1001"/>
      <c r="K33" s="1110"/>
    </row>
    <row r="34" spans="2:11" s="1002" customFormat="1" ht="18" hidden="1">
      <c r="B34" s="1000"/>
      <c r="C34" s="989" t="s">
        <v>256</v>
      </c>
      <c r="D34" s="990" t="s">
        <v>1185</v>
      </c>
      <c r="E34" s="991">
        <f>'FC-3_CPyG'!G55</f>
        <v>408602.74</v>
      </c>
      <c r="F34" s="992"/>
      <c r="G34" s="1096"/>
      <c r="H34" s="993">
        <f t="shared" si="1"/>
        <v>408602.74</v>
      </c>
      <c r="I34" s="1001"/>
      <c r="K34" s="1110"/>
    </row>
    <row r="35" spans="2:11" s="1002" customFormat="1" ht="18" hidden="1">
      <c r="B35" s="1000"/>
      <c r="C35" s="989" t="s">
        <v>256</v>
      </c>
      <c r="D35" s="990" t="s">
        <v>1186</v>
      </c>
      <c r="E35" s="991">
        <f>'FC-3_CPyG'!G72</f>
        <v>0</v>
      </c>
      <c r="F35" s="992"/>
      <c r="G35" s="1096"/>
      <c r="H35" s="993">
        <f t="shared" si="1"/>
        <v>0</v>
      </c>
      <c r="I35" s="1001"/>
      <c r="K35" s="1110"/>
    </row>
    <row r="36" spans="2:11" s="1002" customFormat="1" ht="18" hidden="1">
      <c r="B36" s="1000"/>
      <c r="C36" s="989" t="s">
        <v>256</v>
      </c>
      <c r="D36" s="990" t="s">
        <v>1187</v>
      </c>
      <c r="E36" s="991">
        <f>+'FC-3_CPyG'!G73</f>
        <v>0</v>
      </c>
      <c r="F36" s="992"/>
      <c r="G36" s="1096"/>
      <c r="H36" s="993">
        <f t="shared" si="1"/>
        <v>0</v>
      </c>
      <c r="I36" s="1001"/>
      <c r="K36" s="1110"/>
    </row>
    <row r="37" spans="2:11" s="1002" customFormat="1" ht="18" hidden="1">
      <c r="B37" s="1000"/>
      <c r="C37" s="1105"/>
      <c r="D37" s="1114"/>
      <c r="E37" s="992"/>
      <c r="F37" s="992"/>
      <c r="G37" s="1096"/>
      <c r="H37" s="993">
        <f t="shared" si="1"/>
        <v>0</v>
      </c>
      <c r="I37" s="1001"/>
      <c r="K37" s="1110"/>
    </row>
    <row r="38" spans="2:11" s="1002" customFormat="1" ht="18">
      <c r="B38" s="1000"/>
      <c r="C38" s="1107"/>
      <c r="D38" s="1116"/>
      <c r="E38" s="992"/>
      <c r="F38" s="992"/>
      <c r="G38" s="1097"/>
      <c r="H38" s="993">
        <f t="shared" si="1"/>
        <v>0</v>
      </c>
      <c r="I38" s="1001"/>
      <c r="K38" s="1110"/>
    </row>
    <row r="39" spans="2:11" s="1006" customFormat="1" ht="18">
      <c r="B39" s="1003"/>
      <c r="C39" s="1460" t="s">
        <v>838</v>
      </c>
      <c r="D39" s="1461"/>
      <c r="E39" s="1004">
        <f>E16+E17+E18+E26+E31</f>
        <v>24702236.22</v>
      </c>
      <c r="F39" s="1004">
        <f>F16+F17+F18+F26+F31</f>
        <v>0</v>
      </c>
      <c r="G39" s="1004">
        <f>G16+G17+G18+G26+G31</f>
        <v>-439000</v>
      </c>
      <c r="H39" s="1004">
        <f>H16+H17+H18+H26+H31</f>
        <v>24263236.22</v>
      </c>
      <c r="I39" s="1005"/>
      <c r="K39" s="1110"/>
    </row>
    <row r="40" spans="2:11" s="970" customFormat="1" ht="15.75">
      <c r="B40" s="967"/>
      <c r="C40" s="909"/>
      <c r="D40" s="976"/>
      <c r="E40" s="958"/>
      <c r="F40" s="958"/>
      <c r="G40" s="958"/>
      <c r="H40" s="1007"/>
      <c r="I40" s="969"/>
      <c r="K40" s="1111"/>
    </row>
    <row r="41" spans="2:11" s="1002" customFormat="1" ht="18">
      <c r="B41" s="1000"/>
      <c r="C41" s="983" t="s">
        <v>428</v>
      </c>
      <c r="D41" s="984" t="s">
        <v>839</v>
      </c>
      <c r="E41" s="985">
        <f>SUM(E42:E44)</f>
        <v>0</v>
      </c>
      <c r="F41" s="985">
        <f>SUM(F42:F44)</f>
        <v>0</v>
      </c>
      <c r="G41" s="985">
        <f>SUM(G42:G44)</f>
        <v>0</v>
      </c>
      <c r="H41" s="985">
        <f>SUM(H42:H44)</f>
        <v>0</v>
      </c>
      <c r="I41" s="1001"/>
      <c r="K41" s="1110"/>
    </row>
    <row r="42" spans="2:12" s="995" customFormat="1" ht="18" hidden="1">
      <c r="B42" s="975"/>
      <c r="C42" s="989" t="s">
        <v>265</v>
      </c>
      <c r="D42" s="1008" t="s">
        <v>1188</v>
      </c>
      <c r="E42" s="992"/>
      <c r="F42" s="1009">
        <f>'FC-7_INF'!K31</f>
        <v>0</v>
      </c>
      <c r="G42" s="1098"/>
      <c r="H42" s="993">
        <f>SUM(E42:G42)</f>
        <v>0</v>
      </c>
      <c r="I42" s="994"/>
      <c r="K42" s="1110"/>
      <c r="L42" s="1010" t="s">
        <v>1189</v>
      </c>
    </row>
    <row r="43" spans="2:12" s="995" customFormat="1" ht="18" hidden="1">
      <c r="B43" s="975"/>
      <c r="C43" s="1105"/>
      <c r="D43" s="1106"/>
      <c r="E43" s="992"/>
      <c r="F43" s="992"/>
      <c r="G43" s="1096"/>
      <c r="H43" s="993">
        <f>SUM(E43:G43)</f>
        <v>0</v>
      </c>
      <c r="I43" s="994"/>
      <c r="K43" s="1110"/>
      <c r="L43" s="1002"/>
    </row>
    <row r="44" spans="2:12" s="995" customFormat="1" ht="18" hidden="1">
      <c r="B44" s="975"/>
      <c r="C44" s="1107"/>
      <c r="D44" s="1106"/>
      <c r="E44" s="992"/>
      <c r="F44" s="992"/>
      <c r="G44" s="1097"/>
      <c r="H44" s="993">
        <f>SUM(E44:G44)</f>
        <v>0</v>
      </c>
      <c r="I44" s="994"/>
      <c r="K44" s="1110"/>
      <c r="L44" s="1002"/>
    </row>
    <row r="45" spans="2:11" s="1002" customFormat="1" ht="18">
      <c r="B45" s="1000"/>
      <c r="C45" s="983" t="s">
        <v>430</v>
      </c>
      <c r="D45" s="984" t="s">
        <v>840</v>
      </c>
      <c r="E45" s="985">
        <f>SUM(E46:E49)</f>
        <v>0</v>
      </c>
      <c r="F45" s="985">
        <f>SUM(F46:F49)</f>
        <v>1380730.1099999999</v>
      </c>
      <c r="G45" s="985">
        <f>SUM(G46:G49)</f>
        <v>0</v>
      </c>
      <c r="H45" s="985">
        <f>SUM(H46:H49)</f>
        <v>1380730.1099999999</v>
      </c>
      <c r="I45" s="1001"/>
      <c r="K45" s="1110"/>
    </row>
    <row r="46" spans="2:11" s="1014" customFormat="1" ht="18" hidden="1">
      <c r="B46" s="1011"/>
      <c r="C46" s="989" t="s">
        <v>269</v>
      </c>
      <c r="D46" s="1008" t="s">
        <v>48</v>
      </c>
      <c r="E46" s="1012"/>
      <c r="F46" s="1009">
        <f>'FC-9_TRANS_SUBV'!I38</f>
        <v>1380730.1099999999</v>
      </c>
      <c r="G46" s="878"/>
      <c r="H46" s="993">
        <f>F46+E46</f>
        <v>1380730.1099999999</v>
      </c>
      <c r="I46" s="1013"/>
      <c r="K46" s="1110"/>
    </row>
    <row r="47" spans="2:11" s="1002" customFormat="1" ht="18" hidden="1">
      <c r="B47" s="1000"/>
      <c r="C47" s="989" t="s">
        <v>127</v>
      </c>
      <c r="D47" s="1008" t="s">
        <v>128</v>
      </c>
      <c r="E47" s="1012"/>
      <c r="F47" s="1009">
        <f>'FC-4_1_MOV_FP'!F38</f>
        <v>0</v>
      </c>
      <c r="G47" s="878"/>
      <c r="H47" s="993">
        <f>F47+E47</f>
        <v>0</v>
      </c>
      <c r="I47" s="1001"/>
      <c r="K47" s="1110"/>
    </row>
    <row r="48" spans="2:12" s="1002" customFormat="1" ht="18" hidden="1">
      <c r="B48" s="1000"/>
      <c r="C48" s="1105"/>
      <c r="D48" s="1114"/>
      <c r="E48" s="992"/>
      <c r="F48" s="992"/>
      <c r="G48" s="1096"/>
      <c r="H48" s="993">
        <f>SUM(E48:G48)</f>
        <v>0</v>
      </c>
      <c r="I48" s="1001"/>
      <c r="K48" s="1110"/>
      <c r="L48" s="996"/>
    </row>
    <row r="49" spans="2:12" s="1002" customFormat="1" ht="18">
      <c r="B49" s="1000"/>
      <c r="C49" s="1107"/>
      <c r="D49" s="1116"/>
      <c r="E49" s="992"/>
      <c r="F49" s="992"/>
      <c r="G49" s="1097"/>
      <c r="H49" s="993">
        <f>SUM(E49:G49)</f>
        <v>0</v>
      </c>
      <c r="I49" s="1001"/>
      <c r="K49" s="1110"/>
      <c r="L49" s="996"/>
    </row>
    <row r="50" spans="2:11" s="1017" customFormat="1" ht="18">
      <c r="B50" s="1015"/>
      <c r="C50" s="1453" t="s">
        <v>841</v>
      </c>
      <c r="D50" s="1454"/>
      <c r="E50" s="978">
        <f>E41+E45</f>
        <v>0</v>
      </c>
      <c r="F50" s="978">
        <f>F41+F45</f>
        <v>1380730.1099999999</v>
      </c>
      <c r="G50" s="978">
        <f>G41+G45</f>
        <v>0</v>
      </c>
      <c r="H50" s="978">
        <f>H41+H45</f>
        <v>1380730.1099999999</v>
      </c>
      <c r="I50" s="1016"/>
      <c r="K50" s="1110"/>
    </row>
    <row r="51" spans="2:11" s="970" customFormat="1" ht="15.75">
      <c r="B51" s="967"/>
      <c r="C51" s="909"/>
      <c r="D51" s="976"/>
      <c r="E51" s="958"/>
      <c r="F51" s="958"/>
      <c r="G51" s="958"/>
      <c r="H51" s="1007"/>
      <c r="I51" s="969"/>
      <c r="K51" s="1111"/>
    </row>
    <row r="52" spans="2:11" s="1002" customFormat="1" ht="18">
      <c r="B52" s="1000"/>
      <c r="C52" s="1018" t="s">
        <v>481</v>
      </c>
      <c r="D52" s="628" t="s">
        <v>842</v>
      </c>
      <c r="E52" s="1019">
        <f>SUM(E53:E58)</f>
        <v>0</v>
      </c>
      <c r="F52" s="1019">
        <f>SUM(F53:F58)</f>
        <v>2022083.75</v>
      </c>
      <c r="G52" s="1019">
        <f>SUM(G53:G58)</f>
        <v>0</v>
      </c>
      <c r="H52" s="1019">
        <f>SUM(H53:H58)</f>
        <v>2022083.75</v>
      </c>
      <c r="I52" s="1001"/>
      <c r="K52" s="1110"/>
    </row>
    <row r="53" spans="2:13" s="995" customFormat="1" ht="18" hidden="1">
      <c r="B53" s="975"/>
      <c r="C53" s="989" t="s">
        <v>267</v>
      </c>
      <c r="D53" s="1008" t="s">
        <v>1190</v>
      </c>
      <c r="E53" s="1020"/>
      <c r="F53" s="1009">
        <f>-'FC-8_INV_FINANCIERAS'!H25</f>
        <v>0</v>
      </c>
      <c r="G53" s="878"/>
      <c r="H53" s="993">
        <f>SUM(E53:G53)</f>
        <v>0</v>
      </c>
      <c r="I53" s="994"/>
      <c r="K53" s="1110"/>
      <c r="L53" s="1010" t="s">
        <v>1189</v>
      </c>
      <c r="M53" s="1014"/>
    </row>
    <row r="54" spans="2:12" s="1014" customFormat="1" ht="18" hidden="1">
      <c r="B54" s="1011"/>
      <c r="C54" s="989" t="s">
        <v>267</v>
      </c>
      <c r="D54" s="1008" t="s">
        <v>1191</v>
      </c>
      <c r="E54" s="1012"/>
      <c r="F54" s="1009">
        <f>-'FC-8_INV_FINANCIERAS'!H34</f>
        <v>0</v>
      </c>
      <c r="G54" s="1099"/>
      <c r="H54" s="993">
        <f aca="true" t="shared" si="2" ref="H54:H65">SUM(E54:G54)</f>
        <v>0</v>
      </c>
      <c r="I54" s="1013"/>
      <c r="K54" s="1110"/>
      <c r="L54" s="1010" t="s">
        <v>1189</v>
      </c>
    </row>
    <row r="55" spans="2:12" s="1014" customFormat="1" ht="18" hidden="1">
      <c r="B55" s="1011"/>
      <c r="C55" s="989" t="s">
        <v>267</v>
      </c>
      <c r="D55" s="1008" t="s">
        <v>1192</v>
      </c>
      <c r="E55" s="1012"/>
      <c r="F55" s="1009">
        <f>-'FC-8_INV_FINANCIERAS'!H49</f>
        <v>0</v>
      </c>
      <c r="G55" s="879"/>
      <c r="H55" s="993">
        <f t="shared" si="2"/>
        <v>0</v>
      </c>
      <c r="I55" s="1013"/>
      <c r="K55" s="1110"/>
      <c r="L55" s="1010" t="s">
        <v>1189</v>
      </c>
    </row>
    <row r="56" spans="2:12" s="1014" customFormat="1" ht="18" hidden="1">
      <c r="B56" s="1011"/>
      <c r="C56" s="989" t="s">
        <v>267</v>
      </c>
      <c r="D56" s="1008" t="s">
        <v>1193</v>
      </c>
      <c r="E56" s="1012"/>
      <c r="F56" s="1009">
        <f>-'FC-8_INV_FINANCIERAS'!H58</f>
        <v>2022083.75</v>
      </c>
      <c r="G56" s="879"/>
      <c r="H56" s="993">
        <f t="shared" si="2"/>
        <v>2022083.75</v>
      </c>
      <c r="I56" s="1013"/>
      <c r="K56" s="1110"/>
      <c r="L56" s="1010" t="s">
        <v>1189</v>
      </c>
    </row>
    <row r="57" spans="2:12" s="1014" customFormat="1" ht="18" hidden="1">
      <c r="B57" s="1011"/>
      <c r="C57" s="1105"/>
      <c r="D57" s="1114"/>
      <c r="E57" s="992"/>
      <c r="F57" s="992"/>
      <c r="G57" s="1096"/>
      <c r="H57" s="993">
        <f t="shared" si="2"/>
        <v>0</v>
      </c>
      <c r="I57" s="1013"/>
      <c r="K57" s="1110"/>
      <c r="L57" s="1022"/>
    </row>
    <row r="58" spans="2:12" s="1014" customFormat="1" ht="18" hidden="1">
      <c r="B58" s="1011"/>
      <c r="C58" s="1107"/>
      <c r="D58" s="1116"/>
      <c r="E58" s="992"/>
      <c r="F58" s="992"/>
      <c r="G58" s="1097"/>
      <c r="H58" s="993">
        <f>SUM(E58:G58)</f>
        <v>0</v>
      </c>
      <c r="I58" s="1013"/>
      <c r="K58" s="1110"/>
      <c r="L58" s="1022"/>
    </row>
    <row r="59" spans="2:11" s="1002" customFormat="1" ht="18">
      <c r="B59" s="1000"/>
      <c r="C59" s="1023" t="s">
        <v>483</v>
      </c>
      <c r="D59" s="1024" t="s">
        <v>843</v>
      </c>
      <c r="E59" s="1025">
        <f>SUM(E60:E67)</f>
        <v>0</v>
      </c>
      <c r="F59" s="1025">
        <f>SUM(F60:F67)</f>
        <v>200000</v>
      </c>
      <c r="G59" s="1025">
        <f>SUM(G60:G67)</f>
        <v>0</v>
      </c>
      <c r="H59" s="1025">
        <f>SUM(H60:H67)</f>
        <v>200000</v>
      </c>
      <c r="I59" s="1001"/>
      <c r="K59" s="1110"/>
    </row>
    <row r="60" spans="2:11" s="1014" customFormat="1" ht="18" hidden="1">
      <c r="B60" s="1011"/>
      <c r="C60" s="989" t="s">
        <v>271</v>
      </c>
      <c r="D60" s="1008" t="s">
        <v>49</v>
      </c>
      <c r="E60" s="1012"/>
      <c r="F60" s="1009">
        <f>'FC-10_DEUDAS'!M43</f>
        <v>0</v>
      </c>
      <c r="G60" s="1100"/>
      <c r="H60" s="993">
        <f t="shared" si="2"/>
        <v>0</v>
      </c>
      <c r="I60" s="1013"/>
      <c r="K60" s="1110"/>
    </row>
    <row r="61" spans="2:12" s="1014" customFormat="1" ht="18" hidden="1">
      <c r="B61" s="1011"/>
      <c r="C61" s="989"/>
      <c r="D61" s="1008" t="s">
        <v>55</v>
      </c>
      <c r="E61" s="1012"/>
      <c r="F61" s="1027"/>
      <c r="G61" s="1100"/>
      <c r="H61" s="993">
        <f t="shared" si="2"/>
        <v>0</v>
      </c>
      <c r="I61" s="1013"/>
      <c r="K61" s="1110"/>
      <c r="L61" s="996" t="s">
        <v>99</v>
      </c>
    </row>
    <row r="62" spans="2:12" s="1014" customFormat="1" ht="18" hidden="1">
      <c r="B62" s="1011"/>
      <c r="C62" s="989"/>
      <c r="D62" s="1008" t="s">
        <v>1194</v>
      </c>
      <c r="E62" s="1012"/>
      <c r="F62" s="1028"/>
      <c r="G62" s="879"/>
      <c r="H62" s="993">
        <f t="shared" si="2"/>
        <v>0</v>
      </c>
      <c r="I62" s="1013"/>
      <c r="K62" s="1110"/>
      <c r="L62" s="996" t="s">
        <v>99</v>
      </c>
    </row>
    <row r="63" spans="2:11" s="1014" customFormat="1" ht="18" hidden="1">
      <c r="B63" s="1011"/>
      <c r="C63" s="989" t="s">
        <v>271</v>
      </c>
      <c r="D63" s="1008" t="s">
        <v>1195</v>
      </c>
      <c r="E63" s="1012"/>
      <c r="F63" s="1009">
        <f>'FC-10_DEUDAS'!M75</f>
        <v>0</v>
      </c>
      <c r="G63" s="1100"/>
      <c r="H63" s="993">
        <f t="shared" si="2"/>
        <v>0</v>
      </c>
      <c r="I63" s="1013"/>
      <c r="K63" s="1110"/>
    </row>
    <row r="64" spans="2:11" s="1014" customFormat="1" ht="18" hidden="1">
      <c r="B64" s="1011"/>
      <c r="C64" s="989" t="s">
        <v>271</v>
      </c>
      <c r="D64" s="1008" t="s">
        <v>1196</v>
      </c>
      <c r="E64" s="1012"/>
      <c r="F64" s="1009">
        <f>'FC-10_DEUDAS'!M107</f>
        <v>200000</v>
      </c>
      <c r="G64" s="879"/>
      <c r="H64" s="993">
        <f t="shared" si="2"/>
        <v>200000</v>
      </c>
      <c r="I64" s="1013"/>
      <c r="K64" s="1110"/>
    </row>
    <row r="65" spans="2:12" s="1014" customFormat="1" ht="18" hidden="1">
      <c r="B65" s="1011"/>
      <c r="C65" s="989"/>
      <c r="D65" s="1008" t="s">
        <v>1197</v>
      </c>
      <c r="E65" s="1012"/>
      <c r="F65" s="1028"/>
      <c r="G65" s="879"/>
      <c r="H65" s="993">
        <f t="shared" si="2"/>
        <v>0</v>
      </c>
      <c r="I65" s="1013"/>
      <c r="K65" s="1110"/>
      <c r="L65" s="996" t="s">
        <v>99</v>
      </c>
    </row>
    <row r="66" spans="2:12" s="1014" customFormat="1" ht="18" hidden="1">
      <c r="B66" s="1011"/>
      <c r="C66" s="1105"/>
      <c r="D66" s="1114"/>
      <c r="E66" s="992"/>
      <c r="F66" s="992"/>
      <c r="G66" s="1096"/>
      <c r="H66" s="993">
        <f>SUM(E66:G66)</f>
        <v>0</v>
      </c>
      <c r="I66" s="1013"/>
      <c r="K66" s="1110"/>
      <c r="L66" s="996"/>
    </row>
    <row r="67" spans="2:12" s="1014" customFormat="1" ht="18">
      <c r="B67" s="1011"/>
      <c r="C67" s="1107"/>
      <c r="D67" s="1116"/>
      <c r="E67" s="992"/>
      <c r="F67" s="992"/>
      <c r="G67" s="1097"/>
      <c r="H67" s="993">
        <f>SUM(E67:G67)</f>
        <v>0</v>
      </c>
      <c r="I67" s="1013"/>
      <c r="K67" s="1110"/>
      <c r="L67" s="996"/>
    </row>
    <row r="68" spans="2:11" s="1029" customFormat="1" ht="18">
      <c r="B68" s="971"/>
      <c r="C68" s="1453" t="s">
        <v>844</v>
      </c>
      <c r="D68" s="1454"/>
      <c r="E68" s="978">
        <f>E52+E59</f>
        <v>0</v>
      </c>
      <c r="F68" s="978">
        <f>F52+F59</f>
        <v>2222083.75</v>
      </c>
      <c r="G68" s="978">
        <f>G52+G59</f>
        <v>0</v>
      </c>
      <c r="H68" s="978">
        <f>H52+H59</f>
        <v>2222083.75</v>
      </c>
      <c r="I68" s="973"/>
      <c r="K68" s="1110"/>
    </row>
    <row r="69" spans="2:11" s="970" customFormat="1" ht="15">
      <c r="B69" s="967"/>
      <c r="C69" s="976"/>
      <c r="D69" s="957"/>
      <c r="E69" s="958"/>
      <c r="F69" s="958"/>
      <c r="G69" s="958"/>
      <c r="H69" s="1030"/>
      <c r="I69" s="969"/>
      <c r="K69" s="1111"/>
    </row>
    <row r="70" spans="2:11" s="1034" customFormat="1" ht="21" thickBot="1">
      <c r="B70" s="1031"/>
      <c r="C70" s="1471" t="s">
        <v>1198</v>
      </c>
      <c r="D70" s="1472"/>
      <c r="E70" s="1032">
        <f>E68+E50+E39</f>
        <v>24702236.22</v>
      </c>
      <c r="F70" s="1032">
        <f>F68+F50+F39</f>
        <v>3602813.86</v>
      </c>
      <c r="G70" s="1032">
        <f>G68+G50+G39</f>
        <v>-439000</v>
      </c>
      <c r="H70" s="1032">
        <f>H68+H50+H39</f>
        <v>27866050.08</v>
      </c>
      <c r="I70" s="1033"/>
      <c r="K70" s="1110"/>
    </row>
    <row r="71" spans="2:11" s="970" customFormat="1" ht="15.75">
      <c r="B71" s="967"/>
      <c r="C71" s="909"/>
      <c r="D71" s="976"/>
      <c r="E71" s="958"/>
      <c r="F71" s="958"/>
      <c r="G71" s="958"/>
      <c r="H71" s="1007"/>
      <c r="I71" s="969"/>
      <c r="K71" s="1111"/>
    </row>
    <row r="72" spans="2:11" s="970" customFormat="1" ht="18">
      <c r="B72" s="967"/>
      <c r="C72" s="1473" t="s">
        <v>846</v>
      </c>
      <c r="D72" s="1474"/>
      <c r="E72" s="1035">
        <f>SUM(E73:E81)</f>
        <v>1246995.014</v>
      </c>
      <c r="F72" s="1035">
        <f>SUM(F73:F81)</f>
        <v>0</v>
      </c>
      <c r="G72" s="1035">
        <f>SUM(G73:G81)</f>
        <v>0</v>
      </c>
      <c r="H72" s="1035">
        <f>SUM(H73:H81)</f>
        <v>1246995.014</v>
      </c>
      <c r="I72" s="969"/>
      <c r="K72" s="1110"/>
    </row>
    <row r="73" spans="2:12" s="1002" customFormat="1" ht="18" hidden="1">
      <c r="B73" s="1000"/>
      <c r="C73" s="989" t="s">
        <v>256</v>
      </c>
      <c r="D73" s="990" t="s">
        <v>1199</v>
      </c>
      <c r="E73" s="991">
        <f>IF('FC-3_CPyG'!G20&gt;0,'FC-3_CPyG'!G20,0)</f>
        <v>0</v>
      </c>
      <c r="F73" s="992"/>
      <c r="G73" s="992"/>
      <c r="H73" s="993">
        <f aca="true" t="shared" si="3" ref="H73:H81">F73+E73</f>
        <v>0</v>
      </c>
      <c r="I73" s="1001"/>
      <c r="K73" s="1110"/>
      <c r="L73" s="996" t="s">
        <v>1200</v>
      </c>
    </row>
    <row r="74" spans="2:12" s="1002" customFormat="1" ht="18" hidden="1">
      <c r="B74" s="1000"/>
      <c r="C74" s="989" t="s">
        <v>256</v>
      </c>
      <c r="D74" s="990" t="s">
        <v>1201</v>
      </c>
      <c r="E74" s="991">
        <f>'FC-3_CPyG'!G21</f>
        <v>518837.584</v>
      </c>
      <c r="F74" s="992"/>
      <c r="G74" s="992"/>
      <c r="H74" s="993">
        <f t="shared" si="3"/>
        <v>518837.584</v>
      </c>
      <c r="I74" s="1001"/>
      <c r="K74" s="1110"/>
      <c r="L74" s="996" t="s">
        <v>1202</v>
      </c>
    </row>
    <row r="75" spans="2:11" s="1002" customFormat="1" ht="18" hidden="1">
      <c r="B75" s="1000"/>
      <c r="C75" s="989" t="s">
        <v>256</v>
      </c>
      <c r="D75" s="990" t="s">
        <v>1203</v>
      </c>
      <c r="E75" s="991">
        <f>'FC-3_CPyG'!G41</f>
        <v>728157.43</v>
      </c>
      <c r="F75" s="992"/>
      <c r="G75" s="992"/>
      <c r="H75" s="993">
        <f t="shared" si="3"/>
        <v>728157.43</v>
      </c>
      <c r="I75" s="1001"/>
      <c r="K75" s="1110"/>
    </row>
    <row r="76" spans="2:11" s="1002" customFormat="1" ht="18" hidden="1">
      <c r="B76" s="1000"/>
      <c r="C76" s="989" t="s">
        <v>256</v>
      </c>
      <c r="D76" s="990" t="s">
        <v>1204</v>
      </c>
      <c r="E76" s="991">
        <f>'FC-3_CPyG'!G42</f>
        <v>0</v>
      </c>
      <c r="F76" s="992"/>
      <c r="G76" s="992"/>
      <c r="H76" s="993">
        <f t="shared" si="3"/>
        <v>0</v>
      </c>
      <c r="I76" s="1001"/>
      <c r="K76" s="1110"/>
    </row>
    <row r="77" spans="2:11" s="1002" customFormat="1" ht="18" hidden="1">
      <c r="B77" s="1000"/>
      <c r="C77" s="989" t="s">
        <v>256</v>
      </c>
      <c r="D77" s="990" t="s">
        <v>1205</v>
      </c>
      <c r="E77" s="991">
        <f>IF('FC-3_CPyG'!G45&gt;0,'FC-3_CPyG'!G45,0)</f>
        <v>0</v>
      </c>
      <c r="F77" s="992"/>
      <c r="G77" s="992"/>
      <c r="H77" s="993">
        <f t="shared" si="3"/>
        <v>0</v>
      </c>
      <c r="I77" s="1001"/>
      <c r="K77" s="1110"/>
    </row>
    <row r="78" spans="2:11" s="1002" customFormat="1" ht="18" hidden="1">
      <c r="B78" s="1000"/>
      <c r="C78" s="989" t="s">
        <v>256</v>
      </c>
      <c r="D78" s="990" t="s">
        <v>0</v>
      </c>
      <c r="E78" s="991">
        <f>IF('FC-3_CPyG'!G46&gt;0,'FC-3_CPyG'!G46,0)</f>
        <v>0</v>
      </c>
      <c r="F78" s="992"/>
      <c r="G78" s="992"/>
      <c r="H78" s="993">
        <f t="shared" si="3"/>
        <v>0</v>
      </c>
      <c r="I78" s="1001"/>
      <c r="K78" s="1110"/>
    </row>
    <row r="79" spans="2:11" s="1002" customFormat="1" ht="18" hidden="1">
      <c r="B79" s="1000"/>
      <c r="C79" s="989" t="s">
        <v>262</v>
      </c>
      <c r="D79" s="990" t="s">
        <v>165</v>
      </c>
      <c r="E79" s="991">
        <f>'FC-3_1_INF_ADIC_CPyG'!G58</f>
        <v>0</v>
      </c>
      <c r="F79" s="992"/>
      <c r="G79" s="992"/>
      <c r="H79" s="993">
        <f t="shared" si="3"/>
        <v>0</v>
      </c>
      <c r="I79" s="1001"/>
      <c r="K79" s="1110"/>
    </row>
    <row r="80" spans="2:11" s="1002" customFormat="1" ht="18" hidden="1">
      <c r="B80" s="1000"/>
      <c r="C80" s="989" t="s">
        <v>256</v>
      </c>
      <c r="D80" s="990" t="s">
        <v>1</v>
      </c>
      <c r="E80" s="991">
        <f>'FC-3_CPyG'!G58</f>
        <v>0</v>
      </c>
      <c r="F80" s="992"/>
      <c r="G80" s="992"/>
      <c r="H80" s="993">
        <f t="shared" si="3"/>
        <v>0</v>
      </c>
      <c r="I80" s="1001"/>
      <c r="K80" s="1110"/>
    </row>
    <row r="81" spans="2:11" s="1002" customFormat="1" ht="18" hidden="1">
      <c r="B81" s="1000"/>
      <c r="C81" s="989" t="s">
        <v>256</v>
      </c>
      <c r="D81" s="990" t="s">
        <v>2</v>
      </c>
      <c r="E81" s="991">
        <f>'FC-3_CPyG'!G63</f>
        <v>0</v>
      </c>
      <c r="F81" s="992"/>
      <c r="G81" s="992"/>
      <c r="H81" s="993">
        <f t="shared" si="3"/>
        <v>0</v>
      </c>
      <c r="I81" s="1001"/>
      <c r="K81" s="1110"/>
    </row>
    <row r="82" spans="2:11" s="1002" customFormat="1" ht="15.75">
      <c r="B82" s="1000"/>
      <c r="C82" s="1036"/>
      <c r="D82" s="1036"/>
      <c r="E82" s="1036"/>
      <c r="F82" s="1036"/>
      <c r="G82" s="1036"/>
      <c r="H82" s="1036"/>
      <c r="I82" s="1001"/>
      <c r="K82" s="1112"/>
    </row>
    <row r="83" spans="2:11" s="1041" customFormat="1" ht="18.75" thickBot="1">
      <c r="B83" s="1037"/>
      <c r="C83" s="1475" t="s">
        <v>3</v>
      </c>
      <c r="D83" s="1476"/>
      <c r="E83" s="1038">
        <f>E70+E72</f>
        <v>25949231.233999997</v>
      </c>
      <c r="F83" s="1038">
        <f>F70+F72</f>
        <v>3602813.86</v>
      </c>
      <c r="G83" s="1038">
        <f>G70+G72</f>
        <v>-439000</v>
      </c>
      <c r="H83" s="1038">
        <f>H70+H72</f>
        <v>29113045.093999997</v>
      </c>
      <c r="I83" s="1039"/>
      <c r="J83" s="1040"/>
      <c r="K83" s="1110"/>
    </row>
    <row r="84" spans="2:11" s="970" customFormat="1" ht="18">
      <c r="B84" s="967"/>
      <c r="C84" s="1042"/>
      <c r="D84" s="1042"/>
      <c r="E84" s="1043"/>
      <c r="F84" s="1043"/>
      <c r="G84" s="1043"/>
      <c r="H84" s="1044"/>
      <c r="I84" s="969"/>
      <c r="K84" s="1111"/>
    </row>
    <row r="85" spans="2:11" s="970" customFormat="1" ht="18">
      <c r="B85" s="967"/>
      <c r="C85" s="1042"/>
      <c r="D85" s="1042"/>
      <c r="E85" s="1043"/>
      <c r="F85" s="1043"/>
      <c r="G85" s="1043"/>
      <c r="H85" s="1044"/>
      <c r="I85" s="969"/>
      <c r="K85" s="1111"/>
    </row>
    <row r="86" spans="2:11" s="980" customFormat="1" ht="23.25">
      <c r="B86" s="977"/>
      <c r="C86" s="1458" t="s">
        <v>848</v>
      </c>
      <c r="D86" s="1459"/>
      <c r="E86" s="1045"/>
      <c r="F86" s="1045"/>
      <c r="G86" s="1045"/>
      <c r="H86" s="1046" t="s">
        <v>699</v>
      </c>
      <c r="I86" s="979"/>
      <c r="K86" s="1110"/>
    </row>
    <row r="87" spans="2:11" ht="18">
      <c r="B87" s="975"/>
      <c r="C87" s="981"/>
      <c r="D87" s="976"/>
      <c r="E87" s="958"/>
      <c r="F87" s="958"/>
      <c r="G87" s="958"/>
      <c r="H87" s="578"/>
      <c r="I87" s="965"/>
      <c r="K87" s="1113"/>
    </row>
    <row r="88" spans="2:11" s="988" customFormat="1" ht="18">
      <c r="B88" s="982"/>
      <c r="C88" s="983" t="s">
        <v>398</v>
      </c>
      <c r="D88" s="984" t="s">
        <v>849</v>
      </c>
      <c r="E88" s="985">
        <f>SUM(E89:E92)</f>
        <v>6581379.720000001</v>
      </c>
      <c r="F88" s="985">
        <f>SUM(F89:F92)</f>
        <v>0</v>
      </c>
      <c r="G88" s="985">
        <f>SUM(G89:G92)</f>
        <v>0</v>
      </c>
      <c r="H88" s="985">
        <f>SUM(H89:H92)</f>
        <v>6581379.720000001</v>
      </c>
      <c r="I88" s="987"/>
      <c r="K88" s="1110"/>
    </row>
    <row r="89" spans="2:11" s="970" customFormat="1" ht="18" hidden="1">
      <c r="B89" s="967"/>
      <c r="C89" s="989" t="s">
        <v>256</v>
      </c>
      <c r="D89" s="990" t="s">
        <v>4</v>
      </c>
      <c r="E89" s="991">
        <f>-'FC-3_CPyG'!G30</f>
        <v>6581379.720000001</v>
      </c>
      <c r="F89" s="992"/>
      <c r="G89" s="992"/>
      <c r="H89" s="993">
        <f>F89+E89</f>
        <v>6581379.720000001</v>
      </c>
      <c r="I89" s="969"/>
      <c r="K89" s="1110"/>
    </row>
    <row r="90" spans="2:11" s="970" customFormat="1" ht="18" hidden="1">
      <c r="B90" s="967"/>
      <c r="C90" s="989" t="s">
        <v>256</v>
      </c>
      <c r="D90" s="990" t="s">
        <v>5</v>
      </c>
      <c r="E90" s="991">
        <f>-'FC-3_CPyG'!G33</f>
        <v>0</v>
      </c>
      <c r="F90" s="992"/>
      <c r="G90" s="992"/>
      <c r="H90" s="993">
        <f>F90+E90</f>
        <v>0</v>
      </c>
      <c r="I90" s="969"/>
      <c r="K90" s="1110"/>
    </row>
    <row r="91" spans="2:11" s="970" customFormat="1" ht="18" hidden="1">
      <c r="B91" s="967"/>
      <c r="C91" s="1105"/>
      <c r="D91" s="1114"/>
      <c r="E91" s="992"/>
      <c r="F91" s="992"/>
      <c r="G91" s="1096"/>
      <c r="H91" s="993">
        <f>SUM(E91:G91)</f>
        <v>0</v>
      </c>
      <c r="I91" s="969"/>
      <c r="K91" s="1110"/>
    </row>
    <row r="92" spans="2:11" s="970" customFormat="1" ht="18" hidden="1">
      <c r="B92" s="967"/>
      <c r="C92" s="1107"/>
      <c r="D92" s="1115"/>
      <c r="E92" s="992"/>
      <c r="F92" s="992"/>
      <c r="G92" s="1097"/>
      <c r="H92" s="993">
        <f>SUM(E92:G92)</f>
        <v>0</v>
      </c>
      <c r="I92" s="969"/>
      <c r="K92" s="1110"/>
    </row>
    <row r="93" spans="2:11" s="988" customFormat="1" ht="18">
      <c r="B93" s="982"/>
      <c r="C93" s="1047" t="s">
        <v>408</v>
      </c>
      <c r="D93" s="1048" t="s">
        <v>850</v>
      </c>
      <c r="E93" s="1049">
        <f>SUM(E94:E105)</f>
        <v>8030818.32</v>
      </c>
      <c r="F93" s="1049">
        <f>SUM(F94:F105)</f>
        <v>0</v>
      </c>
      <c r="G93" s="1049">
        <f>SUM(G94:G105)</f>
        <v>-106465.91</v>
      </c>
      <c r="H93" s="1049">
        <f>SUM(H94:H105)</f>
        <v>7924352.41</v>
      </c>
      <c r="I93" s="987"/>
      <c r="K93" s="1110"/>
    </row>
    <row r="94" spans="2:12" s="970" customFormat="1" ht="18" hidden="1">
      <c r="B94" s="967"/>
      <c r="C94" s="989" t="s">
        <v>6</v>
      </c>
      <c r="D94" s="990" t="s">
        <v>7</v>
      </c>
      <c r="E94" s="991">
        <f>-'FC-3_CPyG'!G22</f>
        <v>279858.67000000004</v>
      </c>
      <c r="F94" s="992"/>
      <c r="G94" s="992"/>
      <c r="H94" s="993">
        <f>SUM(E94:G94)</f>
        <v>279858.67000000004</v>
      </c>
      <c r="I94" s="969"/>
      <c r="K94" s="1110"/>
      <c r="L94" s="996" t="s">
        <v>101</v>
      </c>
    </row>
    <row r="95" spans="2:11" s="970" customFormat="1" ht="18" hidden="1">
      <c r="B95" s="967"/>
      <c r="C95" s="989" t="s">
        <v>256</v>
      </c>
      <c r="D95" s="990" t="s">
        <v>8</v>
      </c>
      <c r="E95" s="991">
        <f>-'FC-3_CPyG'!G26</f>
        <v>0</v>
      </c>
      <c r="F95" s="992"/>
      <c r="G95" s="992"/>
      <c r="H95" s="993">
        <f aca="true" t="shared" si="4" ref="H95:H110">SUM(E95:G95)</f>
        <v>0</v>
      </c>
      <c r="I95" s="969"/>
      <c r="K95" s="1110"/>
    </row>
    <row r="96" spans="2:11" s="970" customFormat="1" ht="18" hidden="1">
      <c r="B96" s="967"/>
      <c r="C96" s="989" t="s">
        <v>256</v>
      </c>
      <c r="D96" s="990" t="s">
        <v>9</v>
      </c>
      <c r="E96" s="991">
        <f>-'FC-3_CPyG'!G35</f>
        <v>6609683.08</v>
      </c>
      <c r="F96" s="992"/>
      <c r="G96" s="992"/>
      <c r="H96" s="993">
        <f t="shared" si="4"/>
        <v>6609683.08</v>
      </c>
      <c r="I96" s="969"/>
      <c r="K96" s="1110"/>
    </row>
    <row r="97" spans="2:11" s="970" customFormat="1" ht="18" hidden="1">
      <c r="B97" s="967"/>
      <c r="C97" s="989" t="s">
        <v>256</v>
      </c>
      <c r="D97" s="990" t="s">
        <v>10</v>
      </c>
      <c r="E97" s="991">
        <f>-'FC-3_CPyG'!G36</f>
        <v>1034810.66</v>
      </c>
      <c r="F97" s="992"/>
      <c r="G97" s="992"/>
      <c r="H97" s="993">
        <f t="shared" si="4"/>
        <v>1034810.66</v>
      </c>
      <c r="I97" s="969"/>
      <c r="K97" s="1110"/>
    </row>
    <row r="98" spans="2:11" s="970" customFormat="1" ht="18" hidden="1">
      <c r="B98" s="967"/>
      <c r="C98" s="989" t="s">
        <v>256</v>
      </c>
      <c r="D98" s="990" t="s">
        <v>11</v>
      </c>
      <c r="E98" s="991">
        <f>-'FC-3_CPyG'!G38</f>
        <v>0</v>
      </c>
      <c r="F98" s="992"/>
      <c r="G98" s="992"/>
      <c r="H98" s="993">
        <f t="shared" si="4"/>
        <v>0</v>
      </c>
      <c r="I98" s="969"/>
      <c r="K98" s="1110"/>
    </row>
    <row r="99" spans="2:12" s="970" customFormat="1" ht="18" hidden="1">
      <c r="B99" s="967"/>
      <c r="C99" s="989" t="s">
        <v>256</v>
      </c>
      <c r="D99" s="990" t="s">
        <v>12</v>
      </c>
      <c r="E99" s="991">
        <f>-'FC-3_CPyG'!G39</f>
        <v>0</v>
      </c>
      <c r="F99" s="992"/>
      <c r="G99" s="992"/>
      <c r="H99" s="993">
        <f t="shared" si="4"/>
        <v>0</v>
      </c>
      <c r="I99" s="969"/>
      <c r="K99" s="1110"/>
      <c r="L99" s="1050"/>
    </row>
    <row r="100" spans="2:11" s="970" customFormat="1" ht="18" hidden="1">
      <c r="B100" s="967"/>
      <c r="C100" s="989" t="s">
        <v>256</v>
      </c>
      <c r="D100" s="990" t="s">
        <v>13</v>
      </c>
      <c r="E100" s="991">
        <f>-'FC-3_CPyG'!G77</f>
        <v>106465.91</v>
      </c>
      <c r="F100" s="992"/>
      <c r="G100" s="992">
        <f>-E100</f>
        <v>-106465.91</v>
      </c>
      <c r="H100" s="993">
        <f t="shared" si="4"/>
        <v>0</v>
      </c>
      <c r="I100" s="969"/>
      <c r="K100" s="1110" t="s">
        <v>1212</v>
      </c>
    </row>
    <row r="101" spans="2:11" s="970" customFormat="1" ht="18" hidden="1">
      <c r="B101" s="967"/>
      <c r="C101" s="989" t="s">
        <v>262</v>
      </c>
      <c r="D101" s="990" t="s">
        <v>167</v>
      </c>
      <c r="E101" s="991">
        <f>-'FC-3_1_INF_ADIC_CPyG'!G63</f>
        <v>0</v>
      </c>
      <c r="F101" s="992"/>
      <c r="G101" s="992"/>
      <c r="H101" s="993">
        <f t="shared" si="4"/>
        <v>0</v>
      </c>
      <c r="I101" s="969"/>
      <c r="K101" s="1110"/>
    </row>
    <row r="102" spans="2:11" s="970" customFormat="1" ht="18" hidden="1">
      <c r="B102" s="967"/>
      <c r="C102" s="989" t="s">
        <v>262</v>
      </c>
      <c r="D102" s="990" t="s">
        <v>14</v>
      </c>
      <c r="E102" s="991">
        <f>-'FC-3_1_INF_ADIC_CPyG'!G97</f>
        <v>0</v>
      </c>
      <c r="F102" s="992"/>
      <c r="G102" s="992"/>
      <c r="H102" s="993">
        <f t="shared" si="4"/>
        <v>0</v>
      </c>
      <c r="I102" s="969"/>
      <c r="K102" s="1110"/>
    </row>
    <row r="103" spans="2:12" s="1056" customFormat="1" ht="18" hidden="1">
      <c r="B103" s="1051"/>
      <c r="C103" s="1052"/>
      <c r="D103" s="1053" t="s">
        <v>15</v>
      </c>
      <c r="E103" s="1054"/>
      <c r="F103" s="1099"/>
      <c r="G103" s="1099"/>
      <c r="H103" s="993">
        <f t="shared" si="4"/>
        <v>0</v>
      </c>
      <c r="I103" s="1055"/>
      <c r="K103" s="1110"/>
      <c r="L103" s="996" t="s">
        <v>99</v>
      </c>
    </row>
    <row r="104" spans="2:11" s="970" customFormat="1" ht="18" hidden="1">
      <c r="B104" s="967"/>
      <c r="C104" s="1105"/>
      <c r="D104" s="1114"/>
      <c r="E104" s="992"/>
      <c r="F104" s="992"/>
      <c r="G104" s="1096"/>
      <c r="H104" s="993">
        <f t="shared" si="4"/>
        <v>0</v>
      </c>
      <c r="I104" s="969"/>
      <c r="K104" s="1110"/>
    </row>
    <row r="105" spans="2:11" s="970" customFormat="1" ht="18" hidden="1">
      <c r="B105" s="967"/>
      <c r="C105" s="1107"/>
      <c r="D105" s="1115"/>
      <c r="E105" s="992"/>
      <c r="F105" s="992"/>
      <c r="G105" s="1097"/>
      <c r="H105" s="993">
        <f t="shared" si="4"/>
        <v>0</v>
      </c>
      <c r="I105" s="969"/>
      <c r="K105" s="1110"/>
    </row>
    <row r="106" spans="2:11" s="988" customFormat="1" ht="18">
      <c r="B106" s="982"/>
      <c r="C106" s="1047" t="s">
        <v>413</v>
      </c>
      <c r="D106" s="1048" t="s">
        <v>602</v>
      </c>
      <c r="E106" s="1049">
        <f>SUM(E107:E111)</f>
        <v>132228.61</v>
      </c>
      <c r="F106" s="1049">
        <f>SUM(F107:F111)</f>
        <v>0</v>
      </c>
      <c r="G106" s="1049">
        <f>SUM(G107:G111)</f>
        <v>0</v>
      </c>
      <c r="H106" s="1049">
        <f>SUM(H107:H111)</f>
        <v>132228.61</v>
      </c>
      <c r="I106" s="987"/>
      <c r="K106" s="1110"/>
    </row>
    <row r="107" spans="2:11" s="970" customFormat="1" ht="18" hidden="1">
      <c r="B107" s="967"/>
      <c r="C107" s="989" t="s">
        <v>256</v>
      </c>
      <c r="D107" s="990" t="s">
        <v>16</v>
      </c>
      <c r="E107" s="991">
        <f>-'FC-3_CPyG'!G60</f>
        <v>0</v>
      </c>
      <c r="F107" s="992"/>
      <c r="G107" s="992"/>
      <c r="H107" s="993">
        <f>SUM(E107:G107)</f>
        <v>0</v>
      </c>
      <c r="I107" s="969"/>
      <c r="K107" s="1110"/>
    </row>
    <row r="108" spans="2:11" s="970" customFormat="1" ht="18" hidden="1">
      <c r="B108" s="967"/>
      <c r="C108" s="989" t="s">
        <v>256</v>
      </c>
      <c r="D108" s="990" t="s">
        <v>17</v>
      </c>
      <c r="E108" s="991">
        <f>-'FC-3_CPyG'!G61</f>
        <v>132228.61</v>
      </c>
      <c r="F108" s="992"/>
      <c r="G108" s="992"/>
      <c r="H108" s="993">
        <f t="shared" si="4"/>
        <v>132228.61</v>
      </c>
      <c r="I108" s="969"/>
      <c r="K108" s="1110"/>
    </row>
    <row r="109" spans="2:11" s="970" customFormat="1" ht="18" hidden="1">
      <c r="B109" s="967"/>
      <c r="C109" s="989" t="s">
        <v>256</v>
      </c>
      <c r="D109" s="990" t="s">
        <v>18</v>
      </c>
      <c r="E109" s="991">
        <f>-'FC-3_CPyG'!G71</f>
        <v>0</v>
      </c>
      <c r="F109" s="992"/>
      <c r="G109" s="992"/>
      <c r="H109" s="993">
        <f>SUM(E109:G109)</f>
        <v>0</v>
      </c>
      <c r="I109" s="969"/>
      <c r="K109" s="1110"/>
    </row>
    <row r="110" spans="2:11" s="970" customFormat="1" ht="18" hidden="1">
      <c r="B110" s="967"/>
      <c r="C110" s="1105"/>
      <c r="D110" s="1114"/>
      <c r="E110" s="992"/>
      <c r="F110" s="992"/>
      <c r="G110" s="1096"/>
      <c r="H110" s="993">
        <f t="shared" si="4"/>
        <v>0</v>
      </c>
      <c r="I110" s="969"/>
      <c r="K110" s="1110"/>
    </row>
    <row r="111" spans="2:11" s="970" customFormat="1" ht="18" hidden="1">
      <c r="B111" s="967"/>
      <c r="C111" s="1107"/>
      <c r="D111" s="1116"/>
      <c r="E111" s="992"/>
      <c r="F111" s="992"/>
      <c r="G111" s="1097"/>
      <c r="H111" s="993">
        <f>SUM(E111:G111)</f>
        <v>0</v>
      </c>
      <c r="I111" s="969"/>
      <c r="K111" s="1110"/>
    </row>
    <row r="112" spans="2:11" s="988" customFormat="1" ht="18">
      <c r="B112" s="982"/>
      <c r="C112" s="1047" t="s">
        <v>417</v>
      </c>
      <c r="D112" s="1048" t="s">
        <v>851</v>
      </c>
      <c r="E112" s="1049">
        <f>SUM(E113:E115)</f>
        <v>0</v>
      </c>
      <c r="F112" s="1049">
        <f>SUM(F113:F115)</f>
        <v>0</v>
      </c>
      <c r="G112" s="1049">
        <f>SUM(G113:G115)</f>
        <v>1873025.82</v>
      </c>
      <c r="H112" s="1049">
        <f>SUM(H113:H115)</f>
        <v>1873025.82</v>
      </c>
      <c r="I112" s="987"/>
      <c r="K112" s="1110"/>
    </row>
    <row r="113" spans="2:11" s="970" customFormat="1" ht="18" hidden="1">
      <c r="B113" s="967"/>
      <c r="C113" s="989" t="s">
        <v>262</v>
      </c>
      <c r="D113" s="990" t="s">
        <v>19</v>
      </c>
      <c r="E113" s="991">
        <f>+'FC-3_1_INF_ADIC_CPyG'!G97</f>
        <v>0</v>
      </c>
      <c r="F113" s="992"/>
      <c r="G113" s="992"/>
      <c r="H113" s="993">
        <f>SUM(E113:G113)</f>
        <v>0</v>
      </c>
      <c r="I113" s="969"/>
      <c r="K113" s="1110"/>
    </row>
    <row r="114" spans="2:11" s="970" customFormat="1" ht="18" hidden="1">
      <c r="B114" s="967"/>
      <c r="C114" s="1105"/>
      <c r="D114" s="1114" t="s">
        <v>1235</v>
      </c>
      <c r="E114" s="992"/>
      <c r="F114" s="992"/>
      <c r="G114" s="1096">
        <f>-'FC-4_1_MOV_FP'!K45</f>
        <v>1873025.82</v>
      </c>
      <c r="H114" s="993">
        <f>SUM(E114:G114)</f>
        <v>1873025.82</v>
      </c>
      <c r="I114" s="969"/>
      <c r="K114" s="1110"/>
    </row>
    <row r="115" spans="2:11" s="970" customFormat="1" ht="18">
      <c r="B115" s="967"/>
      <c r="C115" s="1107"/>
      <c r="D115" s="1116"/>
      <c r="E115" s="992"/>
      <c r="F115" s="992"/>
      <c r="G115" s="1097"/>
      <c r="H115" s="993">
        <f>SUM(E115:G115)</f>
        <v>0</v>
      </c>
      <c r="I115" s="969"/>
      <c r="K115" s="1110"/>
    </row>
    <row r="116" spans="2:11" s="1017" customFormat="1" ht="18">
      <c r="B116" s="1015"/>
      <c r="C116" s="1453" t="s">
        <v>852</v>
      </c>
      <c r="D116" s="1454"/>
      <c r="E116" s="978">
        <f>E88+E93+E106+E112</f>
        <v>14744426.65</v>
      </c>
      <c r="F116" s="978">
        <f>F88+F93+F106+F112</f>
        <v>0</v>
      </c>
      <c r="G116" s="978">
        <f>G88+G93+G106+G112</f>
        <v>1766559.9100000001</v>
      </c>
      <c r="H116" s="978">
        <f>H88+H93+H106+H112</f>
        <v>16510986.56</v>
      </c>
      <c r="I116" s="1016"/>
      <c r="K116" s="1110"/>
    </row>
    <row r="117" spans="2:11" s="970" customFormat="1" ht="15.75">
      <c r="B117" s="967"/>
      <c r="C117" s="909"/>
      <c r="D117" s="976"/>
      <c r="E117" s="958"/>
      <c r="F117" s="958"/>
      <c r="G117" s="958"/>
      <c r="H117" s="1007"/>
      <c r="I117" s="969"/>
      <c r="K117" s="1111"/>
    </row>
    <row r="118" spans="2:11" s="988" customFormat="1" ht="18">
      <c r="B118" s="982"/>
      <c r="C118" s="983" t="s">
        <v>428</v>
      </c>
      <c r="D118" s="984" t="s">
        <v>853</v>
      </c>
      <c r="E118" s="985">
        <f>SUM(E119:E122)</f>
        <v>0</v>
      </c>
      <c r="F118" s="985">
        <f>SUM(F119:F122)</f>
        <v>4910267.75346974</v>
      </c>
      <c r="G118" s="985">
        <f>SUM(G119:G122)</f>
        <v>0</v>
      </c>
      <c r="H118" s="985">
        <f>SUM(H119:H122)</f>
        <v>4910267.75346974</v>
      </c>
      <c r="I118" s="987"/>
      <c r="K118" s="1110"/>
    </row>
    <row r="119" spans="2:11" s="970" customFormat="1" ht="18" hidden="1">
      <c r="B119" s="967"/>
      <c r="C119" s="989" t="s">
        <v>265</v>
      </c>
      <c r="D119" s="1008" t="s">
        <v>20</v>
      </c>
      <c r="E119" s="992"/>
      <c r="F119" s="1021">
        <f>+'FC-7_INF'!F31</f>
        <v>4910267.75346974</v>
      </c>
      <c r="G119" s="1099"/>
      <c r="H119" s="993">
        <f>SUM(E119:G119)</f>
        <v>4910267.75346974</v>
      </c>
      <c r="I119" s="969"/>
      <c r="K119" s="1110"/>
    </row>
    <row r="120" spans="2:11" s="1002" customFormat="1" ht="18" hidden="1">
      <c r="B120" s="1000"/>
      <c r="C120" s="989" t="s">
        <v>265</v>
      </c>
      <c r="D120" s="1008" t="s">
        <v>21</v>
      </c>
      <c r="E120" s="992"/>
      <c r="F120" s="1021">
        <f>+'FC-7_INF'!H31</f>
        <v>0</v>
      </c>
      <c r="G120" s="1099"/>
      <c r="H120" s="993">
        <f>SUM(E120:G120)</f>
        <v>0</v>
      </c>
      <c r="I120" s="1001"/>
      <c r="K120" s="1110"/>
    </row>
    <row r="121" spans="2:11" s="1002" customFormat="1" ht="18" hidden="1">
      <c r="B121" s="1000"/>
      <c r="C121" s="1105"/>
      <c r="D121" s="1106"/>
      <c r="E121" s="992"/>
      <c r="F121" s="992"/>
      <c r="G121" s="879"/>
      <c r="H121" s="993">
        <f>SUM(E121:G121)</f>
        <v>0</v>
      </c>
      <c r="I121" s="1001"/>
      <c r="K121" s="1110"/>
    </row>
    <row r="122" spans="2:11" s="1002" customFormat="1" ht="18" hidden="1">
      <c r="B122" s="1000"/>
      <c r="C122" s="1107"/>
      <c r="D122" s="1115"/>
      <c r="E122" s="1057"/>
      <c r="F122" s="1057"/>
      <c r="G122" s="1101"/>
      <c r="H122" s="993">
        <f>SUM(E122:G122)</f>
        <v>0</v>
      </c>
      <c r="I122" s="1001"/>
      <c r="K122" s="1110"/>
    </row>
    <row r="123" spans="2:11" s="988" customFormat="1" ht="18">
      <c r="B123" s="982"/>
      <c r="C123" s="983" t="s">
        <v>430</v>
      </c>
      <c r="D123" s="984" t="s">
        <v>840</v>
      </c>
      <c r="E123" s="985">
        <f>SUM(E124:E126)</f>
        <v>0</v>
      </c>
      <c r="F123" s="985">
        <f>SUM(F124:F126)</f>
        <v>0</v>
      </c>
      <c r="G123" s="985">
        <f>SUM(G124:G126)</f>
        <v>0</v>
      </c>
      <c r="H123" s="985">
        <f>SUM(H124:H126)</f>
        <v>0</v>
      </c>
      <c r="I123" s="987"/>
      <c r="K123" s="1110"/>
    </row>
    <row r="124" spans="2:12" s="1002" customFormat="1" ht="18" hidden="1">
      <c r="B124" s="1000"/>
      <c r="C124" s="989" t="s">
        <v>127</v>
      </c>
      <c r="D124" s="1008" t="s">
        <v>22</v>
      </c>
      <c r="E124" s="992"/>
      <c r="F124" s="1026">
        <f>'FC-4_1_MOV_FP'!G38</f>
        <v>0</v>
      </c>
      <c r="G124" s="1100"/>
      <c r="H124" s="993">
        <f>SUM(E124:G124)</f>
        <v>0</v>
      </c>
      <c r="I124" s="1001"/>
      <c r="K124" s="1110"/>
      <c r="L124" s="996"/>
    </row>
    <row r="125" spans="2:11" s="1002" customFormat="1" ht="18" hidden="1">
      <c r="B125" s="1000"/>
      <c r="C125" s="1105"/>
      <c r="D125" s="1106"/>
      <c r="E125" s="992"/>
      <c r="F125" s="992"/>
      <c r="G125" s="880"/>
      <c r="H125" s="993">
        <f>SUM(E125:G125)</f>
        <v>0</v>
      </c>
      <c r="I125" s="1001"/>
      <c r="K125" s="1110"/>
    </row>
    <row r="126" spans="2:11" s="1002" customFormat="1" ht="18">
      <c r="B126" s="1000"/>
      <c r="C126" s="1107"/>
      <c r="D126" s="1115"/>
      <c r="E126" s="1057"/>
      <c r="F126" s="1057"/>
      <c r="G126" s="1102"/>
      <c r="H126" s="993">
        <f>SUM(E126:G126)</f>
        <v>0</v>
      </c>
      <c r="I126" s="1001"/>
      <c r="K126" s="1110"/>
    </row>
    <row r="127" spans="2:11" s="1017" customFormat="1" ht="18">
      <c r="B127" s="1015"/>
      <c r="C127" s="1453" t="s">
        <v>854</v>
      </c>
      <c r="D127" s="1454"/>
      <c r="E127" s="978">
        <f>+E118+E123</f>
        <v>0</v>
      </c>
      <c r="F127" s="978">
        <f>+F118+F123</f>
        <v>4910267.75346974</v>
      </c>
      <c r="G127" s="978">
        <f>+G118+G123</f>
        <v>0</v>
      </c>
      <c r="H127" s="978">
        <f>+H118+H123</f>
        <v>4910267.75346974</v>
      </c>
      <c r="I127" s="1016"/>
      <c r="K127" s="1110"/>
    </row>
    <row r="128" spans="2:11" s="970" customFormat="1" ht="15.75">
      <c r="B128" s="967"/>
      <c r="C128" s="909"/>
      <c r="D128" s="976"/>
      <c r="E128" s="958"/>
      <c r="F128" s="958"/>
      <c r="G128" s="958"/>
      <c r="H128" s="1007"/>
      <c r="I128" s="969"/>
      <c r="K128" s="1111"/>
    </row>
    <row r="129" spans="2:11" s="988" customFormat="1" ht="18">
      <c r="B129" s="982"/>
      <c r="C129" s="983" t="s">
        <v>481</v>
      </c>
      <c r="D129" s="984" t="s">
        <v>842</v>
      </c>
      <c r="E129" s="985">
        <f>SUM(E130:E135)</f>
        <v>0</v>
      </c>
      <c r="F129" s="985">
        <f>SUM(F130:F135)</f>
        <v>1446768.8199999996</v>
      </c>
      <c r="G129" s="985">
        <f>SUM(G130:G135)</f>
        <v>0</v>
      </c>
      <c r="H129" s="985">
        <f>SUM(H130:H135)</f>
        <v>1446768.8199999996</v>
      </c>
      <c r="I129" s="987"/>
      <c r="K129" s="1110"/>
    </row>
    <row r="130" spans="2:11" s="1002" customFormat="1" ht="18" hidden="1">
      <c r="B130" s="1000"/>
      <c r="C130" s="989" t="s">
        <v>267</v>
      </c>
      <c r="D130" s="1008" t="s">
        <v>51</v>
      </c>
      <c r="E130" s="992"/>
      <c r="F130" s="1021">
        <f>'FC-8_INV_FINANCIERAS'!G25</f>
        <v>375000</v>
      </c>
      <c r="G130" s="880"/>
      <c r="H130" s="993">
        <f aca="true" t="shared" si="5" ref="H130:H135">SUM(E130:G130)</f>
        <v>375000</v>
      </c>
      <c r="I130" s="1001"/>
      <c r="K130" s="1110"/>
    </row>
    <row r="131" spans="2:11" s="1002" customFormat="1" ht="18" hidden="1">
      <c r="B131" s="1000"/>
      <c r="C131" s="989" t="s">
        <v>267</v>
      </c>
      <c r="D131" s="1008" t="s">
        <v>52</v>
      </c>
      <c r="E131" s="992"/>
      <c r="F131" s="1021">
        <f>'FC-8_INV_FINANCIERAS'!G34</f>
        <v>728895.8299999996</v>
      </c>
      <c r="G131" s="1100"/>
      <c r="H131" s="993">
        <f t="shared" si="5"/>
        <v>728895.8299999996</v>
      </c>
      <c r="I131" s="1001"/>
      <c r="K131" s="1110"/>
    </row>
    <row r="132" spans="2:11" s="1002" customFormat="1" ht="18" hidden="1">
      <c r="B132" s="1000"/>
      <c r="C132" s="989" t="s">
        <v>267</v>
      </c>
      <c r="D132" s="1008" t="s">
        <v>53</v>
      </c>
      <c r="E132" s="992"/>
      <c r="F132" s="1021">
        <f>'FC-8_INV_FINANCIERAS'!G49</f>
        <v>0</v>
      </c>
      <c r="G132" s="880"/>
      <c r="H132" s="993">
        <f t="shared" si="5"/>
        <v>0</v>
      </c>
      <c r="I132" s="1001"/>
      <c r="K132" s="1110"/>
    </row>
    <row r="133" spans="2:11" s="1002" customFormat="1" ht="18" hidden="1">
      <c r="B133" s="1000"/>
      <c r="C133" s="989" t="s">
        <v>267</v>
      </c>
      <c r="D133" s="1008" t="s">
        <v>23</v>
      </c>
      <c r="E133" s="992"/>
      <c r="F133" s="1021">
        <f>'FC-8_INV_FINANCIERAS'!G58</f>
        <v>342872.99</v>
      </c>
      <c r="G133" s="880"/>
      <c r="H133" s="993">
        <f t="shared" si="5"/>
        <v>342872.99</v>
      </c>
      <c r="I133" s="1001"/>
      <c r="K133" s="1110"/>
    </row>
    <row r="134" spans="2:11" s="1002" customFormat="1" ht="18" hidden="1">
      <c r="B134" s="1000"/>
      <c r="C134" s="1105"/>
      <c r="D134" s="1106"/>
      <c r="E134" s="992"/>
      <c r="F134" s="992"/>
      <c r="G134" s="880"/>
      <c r="H134" s="993">
        <f t="shared" si="5"/>
        <v>0</v>
      </c>
      <c r="I134" s="1001"/>
      <c r="K134" s="1110"/>
    </row>
    <row r="135" spans="2:11" s="1002" customFormat="1" ht="18" hidden="1">
      <c r="B135" s="1000"/>
      <c r="C135" s="1107"/>
      <c r="D135" s="1115"/>
      <c r="E135" s="1057"/>
      <c r="F135" s="1057"/>
      <c r="G135" s="1102"/>
      <c r="H135" s="993">
        <f t="shared" si="5"/>
        <v>0</v>
      </c>
      <c r="I135" s="1001"/>
      <c r="K135" s="1110"/>
    </row>
    <row r="136" spans="2:11" s="1002" customFormat="1" ht="18">
      <c r="B136" s="1000"/>
      <c r="C136" s="1018" t="s">
        <v>483</v>
      </c>
      <c r="D136" s="628" t="s">
        <v>843</v>
      </c>
      <c r="E136" s="1019">
        <f>SUM(E137:E144)</f>
        <v>0</v>
      </c>
      <c r="F136" s="1019">
        <f>SUM(F137:F144)</f>
        <v>7749008.9399999995</v>
      </c>
      <c r="G136" s="1019">
        <f>SUM(G137:G144)</f>
        <v>-439000</v>
      </c>
      <c r="H136" s="1019">
        <f>SUM(H137:H144)</f>
        <v>7310008.9399999995</v>
      </c>
      <c r="I136" s="1001"/>
      <c r="K136" s="1110"/>
    </row>
    <row r="137" spans="2:11" s="1002" customFormat="1" ht="18" hidden="1">
      <c r="B137" s="1000"/>
      <c r="C137" s="989" t="s">
        <v>271</v>
      </c>
      <c r="D137" s="1008" t="s">
        <v>54</v>
      </c>
      <c r="E137" s="992"/>
      <c r="F137" s="1026">
        <f>'FC-10_DEUDAS'!N43</f>
        <v>7274427.6</v>
      </c>
      <c r="G137" s="1100"/>
      <c r="H137" s="993">
        <f aca="true" t="shared" si="6" ref="H137:H144">SUM(E137:G137)</f>
        <v>7274427.6</v>
      </c>
      <c r="I137" s="1001"/>
      <c r="K137" s="1110"/>
    </row>
    <row r="138" spans="2:12" s="1002" customFormat="1" ht="18" hidden="1">
      <c r="B138" s="1000"/>
      <c r="C138" s="989"/>
      <c r="D138" s="1008" t="s">
        <v>24</v>
      </c>
      <c r="E138" s="992"/>
      <c r="F138" s="1103"/>
      <c r="G138" s="1100"/>
      <c r="H138" s="993">
        <f t="shared" si="6"/>
        <v>0</v>
      </c>
      <c r="I138" s="1001"/>
      <c r="K138" s="1110"/>
      <c r="L138" s="996" t="s">
        <v>99</v>
      </c>
    </row>
    <row r="139" spans="2:12" s="1014" customFormat="1" ht="18" hidden="1">
      <c r="B139" s="1011"/>
      <c r="C139" s="989"/>
      <c r="D139" s="1008" t="s">
        <v>25</v>
      </c>
      <c r="E139" s="1012"/>
      <c r="F139" s="882"/>
      <c r="G139" s="879"/>
      <c r="H139" s="993">
        <f t="shared" si="6"/>
        <v>0</v>
      </c>
      <c r="I139" s="1013"/>
      <c r="K139" s="1110"/>
      <c r="L139" s="996" t="s">
        <v>99</v>
      </c>
    </row>
    <row r="140" spans="2:12" s="1014" customFormat="1" ht="18" hidden="1">
      <c r="B140" s="1011"/>
      <c r="C140" s="989" t="s">
        <v>271</v>
      </c>
      <c r="D140" s="1008" t="s">
        <v>26</v>
      </c>
      <c r="E140" s="1012"/>
      <c r="F140" s="1026">
        <f>'FC-10_DEUDAS'!N75</f>
        <v>474581.33999999997</v>
      </c>
      <c r="G140" s="1100">
        <v>-439000</v>
      </c>
      <c r="H140" s="993">
        <f t="shared" si="6"/>
        <v>35581.33999999997</v>
      </c>
      <c r="I140" s="1013"/>
      <c r="K140" s="1110" t="s">
        <v>1220</v>
      </c>
      <c r="L140" s="996"/>
    </row>
    <row r="141" spans="2:11" s="1002" customFormat="1" ht="18" hidden="1">
      <c r="B141" s="1000"/>
      <c r="C141" s="989" t="s">
        <v>271</v>
      </c>
      <c r="D141" s="1008" t="s">
        <v>27</v>
      </c>
      <c r="E141" s="992"/>
      <c r="F141" s="1026">
        <f>'FC-10_DEUDAS'!N107</f>
        <v>0</v>
      </c>
      <c r="G141" s="880"/>
      <c r="H141" s="993">
        <f t="shared" si="6"/>
        <v>0</v>
      </c>
      <c r="I141" s="1001"/>
      <c r="K141" s="1110"/>
    </row>
    <row r="142" spans="2:12" s="1002" customFormat="1" ht="18" hidden="1">
      <c r="B142" s="1000"/>
      <c r="C142" s="989"/>
      <c r="D142" s="1008" t="s">
        <v>28</v>
      </c>
      <c r="E142" s="992"/>
      <c r="F142" s="882"/>
      <c r="G142" s="880"/>
      <c r="H142" s="993">
        <f t="shared" si="6"/>
        <v>0</v>
      </c>
      <c r="I142" s="1001"/>
      <c r="K142" s="1110"/>
      <c r="L142" s="1058" t="s">
        <v>99</v>
      </c>
    </row>
    <row r="143" spans="2:11" s="1002" customFormat="1" ht="18" hidden="1">
      <c r="B143" s="1000"/>
      <c r="C143" s="1105"/>
      <c r="D143" s="1106"/>
      <c r="E143" s="992"/>
      <c r="F143" s="992"/>
      <c r="G143" s="880"/>
      <c r="H143" s="993">
        <f t="shared" si="6"/>
        <v>0</v>
      </c>
      <c r="I143" s="1001"/>
      <c r="K143" s="1110"/>
    </row>
    <row r="144" spans="2:11" s="1002" customFormat="1" ht="18">
      <c r="B144" s="1000"/>
      <c r="C144" s="1107"/>
      <c r="D144" s="1115"/>
      <c r="E144" s="1057"/>
      <c r="F144" s="1057"/>
      <c r="G144" s="1102"/>
      <c r="H144" s="993">
        <f t="shared" si="6"/>
        <v>0</v>
      </c>
      <c r="I144" s="1001"/>
      <c r="K144" s="1110"/>
    </row>
    <row r="145" spans="2:11" s="1006" customFormat="1" ht="18">
      <c r="B145" s="1003"/>
      <c r="C145" s="1460" t="s">
        <v>855</v>
      </c>
      <c r="D145" s="1461"/>
      <c r="E145" s="1004">
        <f>+E129+E136</f>
        <v>0</v>
      </c>
      <c r="F145" s="1004">
        <f>+F129+F136</f>
        <v>9195777.76</v>
      </c>
      <c r="G145" s="1004">
        <f>+G129+G136</f>
        <v>-439000</v>
      </c>
      <c r="H145" s="1004">
        <f>+H129+H136</f>
        <v>8756777.76</v>
      </c>
      <c r="I145" s="1005"/>
      <c r="K145" s="1110"/>
    </row>
    <row r="146" spans="2:11" s="970" customFormat="1" ht="15">
      <c r="B146" s="967"/>
      <c r="C146" s="976"/>
      <c r="D146" s="957"/>
      <c r="E146" s="958"/>
      <c r="F146" s="958"/>
      <c r="G146" s="958"/>
      <c r="H146" s="1030"/>
      <c r="I146" s="969"/>
      <c r="K146" s="1111"/>
    </row>
    <row r="147" spans="2:11" s="1017" customFormat="1" ht="18.75" thickBot="1">
      <c r="B147" s="1015"/>
      <c r="C147" s="1465" t="s">
        <v>29</v>
      </c>
      <c r="D147" s="1466"/>
      <c r="E147" s="1059">
        <f>+E116+E127+E145</f>
        <v>14744426.65</v>
      </c>
      <c r="F147" s="1059">
        <f>+F116+F127+F145</f>
        <v>14106045.51346974</v>
      </c>
      <c r="G147" s="1059">
        <f>+G116+G127+G145</f>
        <v>1327559.9100000001</v>
      </c>
      <c r="H147" s="1059">
        <f>+H116+H127+H145</f>
        <v>30178032.073469743</v>
      </c>
      <c r="I147" s="1016"/>
      <c r="K147" s="1110"/>
    </row>
    <row r="148" spans="2:11" s="970" customFormat="1" ht="15.75">
      <c r="B148" s="967"/>
      <c r="C148" s="909"/>
      <c r="D148" s="976"/>
      <c r="E148" s="958"/>
      <c r="F148" s="958"/>
      <c r="G148" s="958"/>
      <c r="H148" s="1007"/>
      <c r="I148" s="969"/>
      <c r="K148" s="1111"/>
    </row>
    <row r="149" spans="2:11" s="970" customFormat="1" ht="18.75" thickBot="1">
      <c r="B149" s="967"/>
      <c r="C149" s="1060" t="s">
        <v>30</v>
      </c>
      <c r="D149" s="1061"/>
      <c r="E149" s="1062">
        <f>E70-E147</f>
        <v>9957809.569999998</v>
      </c>
      <c r="F149" s="1062">
        <f>F70-F147</f>
        <v>-10503231.653469741</v>
      </c>
      <c r="G149" s="1062">
        <f>G70-G147</f>
        <v>-1766559.9100000001</v>
      </c>
      <c r="H149" s="1062">
        <f>H70-H147</f>
        <v>-2311981.993469745</v>
      </c>
      <c r="I149" s="969"/>
      <c r="K149" s="1110"/>
    </row>
    <row r="150" spans="2:11" s="970" customFormat="1" ht="16.5" thickTop="1">
      <c r="B150" s="967"/>
      <c r="C150" s="909"/>
      <c r="D150" s="976"/>
      <c r="E150" s="958"/>
      <c r="F150" s="958"/>
      <c r="G150" s="958"/>
      <c r="H150" s="1007"/>
      <c r="I150" s="969"/>
      <c r="K150" s="1111"/>
    </row>
    <row r="151" spans="2:11" s="970" customFormat="1" ht="15.75">
      <c r="B151" s="967"/>
      <c r="C151" s="909"/>
      <c r="D151" s="976"/>
      <c r="E151" s="958"/>
      <c r="F151" s="958"/>
      <c r="G151" s="958"/>
      <c r="H151" s="1007"/>
      <c r="I151" s="969"/>
      <c r="K151" s="1111"/>
    </row>
    <row r="152" spans="2:11" s="1067" customFormat="1" ht="18">
      <c r="B152" s="1063"/>
      <c r="C152" s="1467" t="s">
        <v>857</v>
      </c>
      <c r="D152" s="1468"/>
      <c r="E152" s="1064">
        <f>SUM(E153:E164)</f>
        <v>6758775.75</v>
      </c>
      <c r="F152" s="1065">
        <f>SUM(F153:F164)</f>
        <v>0</v>
      </c>
      <c r="G152" s="1065">
        <f>SUM(G153:G164)</f>
        <v>0</v>
      </c>
      <c r="H152" s="1065">
        <f>SUM(H153:H164)</f>
        <v>6758775.75</v>
      </c>
      <c r="I152" s="1066"/>
      <c r="K152" s="1110"/>
    </row>
    <row r="153" spans="2:12" s="1002" customFormat="1" ht="18" hidden="1">
      <c r="B153" s="1000"/>
      <c r="C153" s="989" t="s">
        <v>256</v>
      </c>
      <c r="D153" s="990" t="s">
        <v>1199</v>
      </c>
      <c r="E153" s="991">
        <f>IF('FC-3_CPyG'!G20&lt;0,-'FC-3_CPyG'!G20,0)</f>
        <v>900</v>
      </c>
      <c r="F153" s="992"/>
      <c r="G153" s="992"/>
      <c r="H153" s="993">
        <f>SUM(E153:G153)</f>
        <v>900</v>
      </c>
      <c r="I153" s="1001"/>
      <c r="K153" s="1110"/>
      <c r="L153" s="1002" t="s">
        <v>31</v>
      </c>
    </row>
    <row r="154" spans="2:11" s="970" customFormat="1" ht="18" hidden="1">
      <c r="B154" s="967"/>
      <c r="C154" s="989" t="s">
        <v>256</v>
      </c>
      <c r="D154" s="990" t="s">
        <v>32</v>
      </c>
      <c r="E154" s="991">
        <f>-'FC-3_CPyG'!G26</f>
        <v>0</v>
      </c>
      <c r="F154" s="992"/>
      <c r="G154" s="992"/>
      <c r="H154" s="993">
        <f aca="true" t="shared" si="7" ref="H154:H164">SUM(E154:G154)</f>
        <v>0</v>
      </c>
      <c r="I154" s="969"/>
      <c r="K154" s="1110"/>
    </row>
    <row r="155" spans="2:11" s="970" customFormat="1" ht="18" hidden="1">
      <c r="B155" s="967"/>
      <c r="C155" s="989" t="s">
        <v>256</v>
      </c>
      <c r="D155" s="990" t="s">
        <v>33</v>
      </c>
      <c r="E155" s="991">
        <f>-'FC-3_CPyG'!G33</f>
        <v>0</v>
      </c>
      <c r="F155" s="992"/>
      <c r="G155" s="992"/>
      <c r="H155" s="993">
        <f t="shared" si="7"/>
        <v>0</v>
      </c>
      <c r="I155" s="969"/>
      <c r="K155" s="1110"/>
    </row>
    <row r="156" spans="2:11" s="970" customFormat="1" ht="18" hidden="1">
      <c r="B156" s="967"/>
      <c r="C156" s="989" t="s">
        <v>256</v>
      </c>
      <c r="D156" s="990" t="s">
        <v>34</v>
      </c>
      <c r="E156" s="991">
        <f>-'FC-3_CPyG'!G37</f>
        <v>0</v>
      </c>
      <c r="F156" s="992"/>
      <c r="G156" s="992"/>
      <c r="H156" s="993">
        <f t="shared" si="7"/>
        <v>0</v>
      </c>
      <c r="I156" s="969"/>
      <c r="K156" s="1110"/>
    </row>
    <row r="157" spans="2:11" s="970" customFormat="1" ht="18" hidden="1">
      <c r="B157" s="967"/>
      <c r="C157" s="989" t="s">
        <v>256</v>
      </c>
      <c r="D157" s="990" t="s">
        <v>35</v>
      </c>
      <c r="E157" s="991">
        <f>-'FC-3_CPyG'!G40</f>
        <v>6756675.75</v>
      </c>
      <c r="F157" s="992"/>
      <c r="G157" s="992"/>
      <c r="H157" s="993">
        <f t="shared" si="7"/>
        <v>6756675.75</v>
      </c>
      <c r="I157" s="969"/>
      <c r="K157" s="1110"/>
    </row>
    <row r="158" spans="2:11" s="970" customFormat="1" ht="18" hidden="1">
      <c r="B158" s="967"/>
      <c r="C158" s="989" t="s">
        <v>256</v>
      </c>
      <c r="D158" s="990" t="s">
        <v>36</v>
      </c>
      <c r="E158" s="991">
        <f>-'FC-3_CPyG'!G44</f>
        <v>0</v>
      </c>
      <c r="F158" s="992"/>
      <c r="G158" s="992"/>
      <c r="H158" s="993">
        <f t="shared" si="7"/>
        <v>0</v>
      </c>
      <c r="I158" s="969"/>
      <c r="K158" s="1110"/>
    </row>
    <row r="159" spans="2:11" s="970" customFormat="1" ht="18" hidden="1">
      <c r="B159" s="967"/>
      <c r="C159" s="1157" t="s">
        <v>256</v>
      </c>
      <c r="D159" s="1158" t="s">
        <v>1205</v>
      </c>
      <c r="E159" s="1159">
        <f>IF('FC-3_CPyG'!G45&lt;0,-'FC-3_CPyG'!G45,0)</f>
        <v>0</v>
      </c>
      <c r="F159" s="992"/>
      <c r="G159" s="992"/>
      <c r="H159" s="993">
        <f t="shared" si="7"/>
        <v>0</v>
      </c>
      <c r="I159" s="969"/>
      <c r="K159" s="1160" t="s">
        <v>130</v>
      </c>
    </row>
    <row r="160" spans="2:12" s="970" customFormat="1" ht="18" hidden="1">
      <c r="B160" s="967"/>
      <c r="C160" s="989" t="s">
        <v>256</v>
      </c>
      <c r="D160" s="990" t="s">
        <v>37</v>
      </c>
      <c r="E160" s="991">
        <f>-'FC-3_CPyG'!G46</f>
        <v>0</v>
      </c>
      <c r="F160" s="992"/>
      <c r="G160" s="992"/>
      <c r="H160" s="993">
        <f t="shared" si="7"/>
        <v>0</v>
      </c>
      <c r="I160" s="969"/>
      <c r="K160" s="1110"/>
      <c r="L160" s="1050"/>
    </row>
    <row r="161" spans="2:12" s="970" customFormat="1" ht="18" hidden="1">
      <c r="B161" s="967"/>
      <c r="C161" s="989" t="s">
        <v>164</v>
      </c>
      <c r="D161" s="990" t="s">
        <v>166</v>
      </c>
      <c r="E161" s="991">
        <f>-'FC-3_1_INF_ADIC_CPyG'!G71</f>
        <v>0</v>
      </c>
      <c r="F161" s="992"/>
      <c r="G161" s="992"/>
      <c r="H161" s="993">
        <f t="shared" si="7"/>
        <v>0</v>
      </c>
      <c r="I161" s="969"/>
      <c r="K161" s="1110"/>
      <c r="L161" s="1050"/>
    </row>
    <row r="162" spans="2:11" s="970" customFormat="1" ht="18" hidden="1">
      <c r="B162" s="967"/>
      <c r="C162" s="989" t="s">
        <v>256</v>
      </c>
      <c r="D162" s="990" t="s">
        <v>38</v>
      </c>
      <c r="E162" s="991">
        <f>-'FC-3_CPyG'!G62</f>
        <v>1200</v>
      </c>
      <c r="F162" s="992"/>
      <c r="G162" s="992"/>
      <c r="H162" s="993">
        <f t="shared" si="7"/>
        <v>1200</v>
      </c>
      <c r="I162" s="969"/>
      <c r="K162" s="1110"/>
    </row>
    <row r="163" spans="2:11" s="970" customFormat="1" ht="18" hidden="1">
      <c r="B163" s="967"/>
      <c r="C163" s="989" t="s">
        <v>256</v>
      </c>
      <c r="D163" s="990" t="s">
        <v>39</v>
      </c>
      <c r="E163" s="991">
        <f>-'FC-3_CPyG'!G66</f>
        <v>0</v>
      </c>
      <c r="F163" s="992"/>
      <c r="G163" s="992"/>
      <c r="H163" s="993">
        <f t="shared" si="7"/>
        <v>0</v>
      </c>
      <c r="I163" s="969"/>
      <c r="K163" s="1110"/>
    </row>
    <row r="164" spans="2:11" s="970" customFormat="1" ht="18" hidden="1">
      <c r="B164" s="967"/>
      <c r="C164" s="1068" t="s">
        <v>256</v>
      </c>
      <c r="D164" s="1069" t="s">
        <v>40</v>
      </c>
      <c r="E164" s="1070">
        <f>-'FC-3_CPyG'!G67</f>
        <v>0</v>
      </c>
      <c r="F164" s="1071"/>
      <c r="G164" s="1071"/>
      <c r="H164" s="1072">
        <f t="shared" si="7"/>
        <v>0</v>
      </c>
      <c r="I164" s="969"/>
      <c r="K164" s="1110"/>
    </row>
    <row r="165" spans="2:11" s="970" customFormat="1" ht="15">
      <c r="B165" s="967"/>
      <c r="C165" s="1036"/>
      <c r="D165" s="1073"/>
      <c r="E165" s="1073"/>
      <c r="F165" s="1073"/>
      <c r="G165" s="1073"/>
      <c r="H165" s="1073"/>
      <c r="I165" s="969"/>
      <c r="K165" s="1111"/>
    </row>
    <row r="166" spans="2:11" s="970" customFormat="1" ht="18.75" thickBot="1">
      <c r="B166" s="967"/>
      <c r="C166" s="1475" t="s">
        <v>45</v>
      </c>
      <c r="D166" s="1476"/>
      <c r="E166" s="1038">
        <f>+E147+E152</f>
        <v>21503202.4</v>
      </c>
      <c r="F166" s="1038">
        <f>+F147+F152</f>
        <v>14106045.51346974</v>
      </c>
      <c r="G166" s="1038">
        <f>+G147+G152</f>
        <v>1327559.9100000001</v>
      </c>
      <c r="H166" s="1038">
        <f>+H147+H152</f>
        <v>36936807.82346974</v>
      </c>
      <c r="I166" s="969"/>
      <c r="K166" s="1110"/>
    </row>
    <row r="167" spans="2:11" s="970" customFormat="1" ht="18">
      <c r="B167" s="967"/>
      <c r="C167" s="1074"/>
      <c r="D167" s="1074"/>
      <c r="E167" s="1075"/>
      <c r="F167" s="1075"/>
      <c r="G167" s="1075"/>
      <c r="H167" s="1075"/>
      <c r="I167" s="969"/>
      <c r="K167" s="1111"/>
    </row>
    <row r="168" spans="2:11" s="970" customFormat="1" ht="18.75" thickBot="1">
      <c r="B168" s="967"/>
      <c r="C168" s="1060" t="s">
        <v>43</v>
      </c>
      <c r="D168" s="1061"/>
      <c r="E168" s="1062">
        <f>+E83-E166</f>
        <v>4446028.833999999</v>
      </c>
      <c r="F168" s="1062">
        <f>+F83-F166</f>
        <v>-10503231.653469741</v>
      </c>
      <c r="G168" s="1062">
        <f>+G83-G166</f>
        <v>-1766559.9100000001</v>
      </c>
      <c r="H168" s="1062">
        <f>+H83-H166</f>
        <v>-7823762.729469746</v>
      </c>
      <c r="I168" s="969"/>
      <c r="K168" s="1110"/>
    </row>
    <row r="169" spans="2:11" s="970" customFormat="1" ht="15.75" thickTop="1">
      <c r="B169" s="967"/>
      <c r="C169" s="1036"/>
      <c r="D169" s="1036"/>
      <c r="E169" s="1076"/>
      <c r="F169" s="1076"/>
      <c r="G169" s="1076"/>
      <c r="H169" s="1077"/>
      <c r="I169" s="969"/>
      <c r="K169" s="1111"/>
    </row>
    <row r="170" spans="2:11" s="970" customFormat="1" ht="18">
      <c r="B170" s="967"/>
      <c r="C170" s="1469" t="s">
        <v>41</v>
      </c>
      <c r="D170" s="1470"/>
      <c r="E170" s="1078">
        <f>E171+E178+E182+E188+E189+E196</f>
        <v>0</v>
      </c>
      <c r="F170" s="1078">
        <f>F171+F178+F182+F188+F189+F196+F198+F180</f>
        <v>7930228.644500001</v>
      </c>
      <c r="G170" s="1078">
        <f>G171+G178+G182+G188+G189+G196+G198+G180</f>
        <v>-106465.91503</v>
      </c>
      <c r="H170" s="1078">
        <f>H171+H178+H182+H188+H189+H196+H198+H180</f>
        <v>7823762.7294700015</v>
      </c>
      <c r="I170" s="969"/>
      <c r="K170" s="1110"/>
    </row>
    <row r="171" spans="2:11" s="970" customFormat="1" ht="18" hidden="1">
      <c r="B171" s="967"/>
      <c r="C171" s="1079" t="s">
        <v>399</v>
      </c>
      <c r="D171" s="1008"/>
      <c r="E171" s="1080"/>
      <c r="F171" s="1462">
        <f>SUM(F174:F177)</f>
        <v>6756675.754500001</v>
      </c>
      <c r="G171" s="1462">
        <f>SUM(G174:G177)</f>
        <v>0</v>
      </c>
      <c r="H171" s="1462">
        <f>F171+G171</f>
        <v>6756675.754500001</v>
      </c>
      <c r="I171" s="969"/>
      <c r="K171" s="1110"/>
    </row>
    <row r="172" spans="2:11" s="970" customFormat="1" ht="18" hidden="1">
      <c r="B172" s="967"/>
      <c r="C172" s="1081" t="s">
        <v>409</v>
      </c>
      <c r="D172" s="1008"/>
      <c r="E172" s="1080"/>
      <c r="F172" s="1463"/>
      <c r="G172" s="1463"/>
      <c r="H172" s="1463"/>
      <c r="I172" s="969"/>
      <c r="K172" s="1110"/>
    </row>
    <row r="173" spans="2:11" s="970" customFormat="1" ht="18" hidden="1">
      <c r="B173" s="967"/>
      <c r="C173" s="1081" t="s">
        <v>414</v>
      </c>
      <c r="D173" s="1008"/>
      <c r="E173" s="1080"/>
      <c r="F173" s="1464"/>
      <c r="G173" s="1464"/>
      <c r="H173" s="1464"/>
      <c r="I173" s="969"/>
      <c r="K173" s="1110"/>
    </row>
    <row r="174" spans="2:11" s="970" customFormat="1" ht="18" hidden="1">
      <c r="B174" s="967"/>
      <c r="C174" s="989" t="s">
        <v>265</v>
      </c>
      <c r="D174" s="1008" t="s">
        <v>56</v>
      </c>
      <c r="E174" s="992"/>
      <c r="F174" s="1021">
        <f>-'FC-7_INF'!G31</f>
        <v>0</v>
      </c>
      <c r="G174" s="1099"/>
      <c r="H174" s="993"/>
      <c r="I174" s="969"/>
      <c r="K174" s="1110"/>
    </row>
    <row r="175" spans="2:11" s="970" customFormat="1" ht="18" hidden="1">
      <c r="B175" s="967"/>
      <c r="C175" s="989" t="s">
        <v>265</v>
      </c>
      <c r="D175" s="1008" t="s">
        <v>57</v>
      </c>
      <c r="E175" s="992"/>
      <c r="F175" s="1021">
        <f>-'FC-7_INF'!I31</f>
        <v>6756675.754500001</v>
      </c>
      <c r="G175" s="1099"/>
      <c r="H175" s="993"/>
      <c r="I175" s="969"/>
      <c r="K175" s="1110"/>
    </row>
    <row r="176" spans="2:11" s="970" customFormat="1" ht="18" hidden="1">
      <c r="B176" s="967"/>
      <c r="C176" s="989" t="s">
        <v>265</v>
      </c>
      <c r="D176" s="1008" t="s">
        <v>58</v>
      </c>
      <c r="E176" s="992"/>
      <c r="F176" s="1021">
        <f>-'FC-7_INF'!J31</f>
        <v>0</v>
      </c>
      <c r="G176" s="1099"/>
      <c r="H176" s="993"/>
      <c r="I176" s="969"/>
      <c r="K176" s="1110"/>
    </row>
    <row r="177" spans="2:11" s="970" customFormat="1" ht="18" hidden="1">
      <c r="B177" s="967"/>
      <c r="C177" s="989" t="s">
        <v>265</v>
      </c>
      <c r="D177" s="1008" t="s">
        <v>59</v>
      </c>
      <c r="E177" s="992"/>
      <c r="F177" s="1021">
        <f>-'FC-7_INF'!L31</f>
        <v>0</v>
      </c>
      <c r="G177" s="1099"/>
      <c r="H177" s="993"/>
      <c r="I177" s="969"/>
      <c r="K177" s="1110"/>
    </row>
    <row r="178" spans="2:11" s="970" customFormat="1" ht="18" hidden="1">
      <c r="B178" s="967"/>
      <c r="C178" s="1081" t="s">
        <v>268</v>
      </c>
      <c r="D178" s="1008"/>
      <c r="E178" s="992"/>
      <c r="F178" s="1082">
        <f>F179</f>
        <v>0</v>
      </c>
      <c r="G178" s="1082">
        <f>G179</f>
        <v>0</v>
      </c>
      <c r="H178" s="1083">
        <f>F178+G178</f>
        <v>0</v>
      </c>
      <c r="I178" s="969"/>
      <c r="K178" s="1110"/>
    </row>
    <row r="179" spans="2:11" s="970" customFormat="1" ht="18" hidden="1">
      <c r="B179" s="967"/>
      <c r="C179" s="989" t="s">
        <v>267</v>
      </c>
      <c r="D179" s="1008" t="s">
        <v>631</v>
      </c>
      <c r="E179" s="992"/>
      <c r="F179" s="1021">
        <f>-'FC-8_INV_FINANCIERAS'!I25-'FC-8_INV_FINANCIERAS'!I34-'FC-8_INV_FINANCIERAS'!I49-'FC-8_INV_FINANCIERAS'!I58</f>
        <v>0</v>
      </c>
      <c r="G179" s="1099"/>
      <c r="H179" s="993"/>
      <c r="I179" s="969"/>
      <c r="K179" s="1110"/>
    </row>
    <row r="180" spans="2:11" s="970" customFormat="1" ht="18" hidden="1">
      <c r="B180" s="967"/>
      <c r="C180" s="1081" t="s">
        <v>1207</v>
      </c>
      <c r="D180" s="1008"/>
      <c r="E180" s="992"/>
      <c r="F180" s="1082">
        <f>+F181</f>
        <v>106465.91000000015</v>
      </c>
      <c r="G180" s="1082">
        <f>G181</f>
        <v>-106465.91503</v>
      </c>
      <c r="H180" s="1083">
        <f>+G180+F180</f>
        <v>-0.005029999854741618</v>
      </c>
      <c r="I180" s="969"/>
      <c r="K180" s="1110"/>
    </row>
    <row r="181" spans="2:11" s="970" customFormat="1" ht="18" hidden="1">
      <c r="B181" s="967"/>
      <c r="C181" s="989" t="s">
        <v>70</v>
      </c>
      <c r="D181" s="1008" t="s">
        <v>1208</v>
      </c>
      <c r="E181" s="992"/>
      <c r="F181" s="1021">
        <f>-('FC-4_ACTIVO'!G47-'FC-4_ACTIVO'!F47)</f>
        <v>106465.91000000015</v>
      </c>
      <c r="G181" s="1099">
        <f>-106465.91-0.00503</f>
        <v>-106465.91503</v>
      </c>
      <c r="H181" s="993"/>
      <c r="I181" s="969"/>
      <c r="K181" s="1110" t="s">
        <v>1213</v>
      </c>
    </row>
    <row r="182" spans="2:11" s="970" customFormat="1" ht="18" hidden="1">
      <c r="B182" s="967"/>
      <c r="C182" s="1081" t="s">
        <v>60</v>
      </c>
      <c r="D182" s="1008"/>
      <c r="E182" s="992"/>
      <c r="F182" s="1082">
        <f>SUM(F183:F187)</f>
        <v>3015795.6400000015</v>
      </c>
      <c r="G182" s="1082">
        <f>SUM(G183:G187)</f>
        <v>0</v>
      </c>
      <c r="H182" s="1083">
        <f>F182+G182</f>
        <v>3015795.6400000015</v>
      </c>
      <c r="I182" s="969"/>
      <c r="K182" s="1110"/>
    </row>
    <row r="183" spans="2:11" s="970" customFormat="1" ht="18" hidden="1">
      <c r="B183" s="967"/>
      <c r="C183" s="989" t="s">
        <v>70</v>
      </c>
      <c r="D183" s="1008" t="s">
        <v>64</v>
      </c>
      <c r="E183" s="992"/>
      <c r="F183" s="1021">
        <f>'FC-4_ACTIVO'!F51-'FC-4_ACTIVO'!G51</f>
        <v>0</v>
      </c>
      <c r="G183" s="1099"/>
      <c r="H183" s="993"/>
      <c r="I183" s="969"/>
      <c r="K183" s="1110"/>
    </row>
    <row r="184" spans="2:11" s="970" customFormat="1" ht="18" hidden="1">
      <c r="B184" s="967"/>
      <c r="C184" s="989" t="s">
        <v>70</v>
      </c>
      <c r="D184" s="1008" t="s">
        <v>65</v>
      </c>
      <c r="E184" s="992"/>
      <c r="F184" s="1021">
        <f>'FC-4_ACTIVO'!F52-'FC-4_ACTIVO'!G52</f>
        <v>900</v>
      </c>
      <c r="G184" s="1099"/>
      <c r="H184" s="993"/>
      <c r="I184" s="969"/>
      <c r="K184" s="1110"/>
    </row>
    <row r="185" spans="2:11" s="970" customFormat="1" ht="18" hidden="1">
      <c r="B185" s="967"/>
      <c r="C185" s="989" t="s">
        <v>70</v>
      </c>
      <c r="D185" s="1008" t="s">
        <v>66</v>
      </c>
      <c r="E185" s="992"/>
      <c r="F185" s="1021">
        <f>'FC-4_ACTIVO'!F65-'FC-4_ACTIVO'!G65</f>
        <v>2030836.7600000016</v>
      </c>
      <c r="G185" s="1099"/>
      <c r="H185" s="993"/>
      <c r="I185" s="969"/>
      <c r="K185" s="1110"/>
    </row>
    <row r="186" spans="2:11" s="970" customFormat="1" ht="18" hidden="1">
      <c r="B186" s="967"/>
      <c r="C186" s="989" t="s">
        <v>70</v>
      </c>
      <c r="D186" s="1008" t="s">
        <v>67</v>
      </c>
      <c r="E186" s="992"/>
      <c r="F186" s="1021">
        <f>'FC-4_ACTIVO'!F89-'FC-4_ACTIVO'!G89</f>
        <v>10000</v>
      </c>
      <c r="G186" s="1099"/>
      <c r="H186" s="993"/>
      <c r="I186" s="969"/>
      <c r="K186" s="1110"/>
    </row>
    <row r="187" spans="2:11" s="970" customFormat="1" ht="18" hidden="1">
      <c r="B187" s="967"/>
      <c r="C187" s="989" t="s">
        <v>70</v>
      </c>
      <c r="D187" s="1008" t="s">
        <v>68</v>
      </c>
      <c r="E187" s="992"/>
      <c r="F187" s="1021">
        <f>'FC-4_ACTIVO'!F90-'FC-4_ACTIVO'!G90</f>
        <v>974058.8799999999</v>
      </c>
      <c r="G187" s="1099"/>
      <c r="H187" s="993"/>
      <c r="I187" s="969"/>
      <c r="K187" s="1110"/>
    </row>
    <row r="188" spans="2:11" s="970" customFormat="1" ht="18" hidden="1">
      <c r="B188" s="967"/>
      <c r="C188" s="1084" t="s">
        <v>61</v>
      </c>
      <c r="D188" s="1008"/>
      <c r="E188" s="992"/>
      <c r="F188" s="1082">
        <f>'FC-4_ACTIVO'!F48-'FC-4_ACTIVO'!G48</f>
        <v>0</v>
      </c>
      <c r="G188" s="1099"/>
      <c r="H188" s="1083">
        <f>F188+G188</f>
        <v>0</v>
      </c>
      <c r="I188" s="969"/>
      <c r="K188" s="1110"/>
    </row>
    <row r="189" spans="2:11" s="970" customFormat="1" ht="18" hidden="1">
      <c r="B189" s="967"/>
      <c r="C189" s="1081" t="s">
        <v>62</v>
      </c>
      <c r="D189" s="1008"/>
      <c r="E189" s="992"/>
      <c r="F189" s="1082">
        <f>SUM(F190:F195)</f>
        <v>-1415738.8800000006</v>
      </c>
      <c r="G189" s="1082">
        <f>SUM(G191:G193)</f>
        <v>0</v>
      </c>
      <c r="H189" s="1083">
        <f>F189+G189</f>
        <v>-1415738.8800000006</v>
      </c>
      <c r="I189" s="969"/>
      <c r="K189" s="1110"/>
    </row>
    <row r="190" spans="2:11" s="970" customFormat="1" ht="18" hidden="1">
      <c r="B190" s="967"/>
      <c r="C190" s="989" t="s">
        <v>71</v>
      </c>
      <c r="D190" s="1008" t="s">
        <v>125</v>
      </c>
      <c r="E190" s="992"/>
      <c r="F190" s="1021">
        <f>'FC-4_PASIVO'!G44-'FC-4_PASIVO'!F44</f>
        <v>1200</v>
      </c>
      <c r="G190" s="1082"/>
      <c r="H190" s="1083"/>
      <c r="I190" s="969"/>
      <c r="K190" s="1110"/>
    </row>
    <row r="191" spans="2:11" s="970" customFormat="1" ht="18" hidden="1">
      <c r="B191" s="967"/>
      <c r="C191" s="989" t="s">
        <v>71</v>
      </c>
      <c r="D191" s="1008" t="s">
        <v>69</v>
      </c>
      <c r="E191" s="992"/>
      <c r="F191" s="1021">
        <f>'FC-9_TRANS_SUBV'!K40</f>
        <v>-195187.65</v>
      </c>
      <c r="G191" s="1099"/>
      <c r="H191" s="993"/>
      <c r="I191" s="969"/>
      <c r="K191" s="1110"/>
    </row>
    <row r="192" spans="2:11" s="970" customFormat="1" ht="18" hidden="1">
      <c r="B192" s="967"/>
      <c r="C192" s="989" t="s">
        <v>71</v>
      </c>
      <c r="D192" s="1008" t="s">
        <v>72</v>
      </c>
      <c r="E192" s="992"/>
      <c r="F192" s="1021">
        <f>'FC-4_PASIVO'!G57-'FC-4_PASIVO'!F57</f>
        <v>0</v>
      </c>
      <c r="G192" s="1099"/>
      <c r="H192" s="993"/>
      <c r="I192" s="969"/>
      <c r="K192" s="1110"/>
    </row>
    <row r="193" spans="2:11" s="970" customFormat="1" ht="18" hidden="1">
      <c r="B193" s="967"/>
      <c r="C193" s="989" t="s">
        <v>71</v>
      </c>
      <c r="D193" s="1008" t="s">
        <v>73</v>
      </c>
      <c r="E193" s="992"/>
      <c r="F193" s="1021">
        <f>'FC-4_PASIVO'!G73-'FC-4_PASIVO'!F73</f>
        <v>-733200.0000000005</v>
      </c>
      <c r="G193" s="1099"/>
      <c r="H193" s="993"/>
      <c r="I193" s="969"/>
      <c r="K193" s="1110"/>
    </row>
    <row r="194" spans="2:11" s="970" customFormat="1" ht="18" hidden="1">
      <c r="B194" s="967"/>
      <c r="C194" s="989" t="s">
        <v>71</v>
      </c>
      <c r="D194" s="1008" t="s">
        <v>126</v>
      </c>
      <c r="E194" s="992"/>
      <c r="F194" s="1021">
        <f>'FC-4_PASIVO'!G63-'FC-4_PASIVO'!F63</f>
        <v>0</v>
      </c>
      <c r="G194" s="1099"/>
      <c r="H194" s="993"/>
      <c r="I194" s="969"/>
      <c r="K194" s="1110"/>
    </row>
    <row r="195" spans="2:11" s="970" customFormat="1" ht="18" hidden="1">
      <c r="B195" s="967"/>
      <c r="C195" s="989" t="s">
        <v>71</v>
      </c>
      <c r="D195" s="1008" t="s">
        <v>129</v>
      </c>
      <c r="E195" s="992"/>
      <c r="F195" s="1021">
        <f>'FC-4_PASIVO'!G83-'FC-4_PASIVO'!F83</f>
        <v>-488551.23000000004</v>
      </c>
      <c r="G195" s="1099"/>
      <c r="H195" s="993"/>
      <c r="I195" s="969"/>
      <c r="K195" s="1110"/>
    </row>
    <row r="196" spans="2:11" s="970" customFormat="1" ht="18" hidden="1">
      <c r="B196" s="967"/>
      <c r="C196" s="1081" t="s">
        <v>63</v>
      </c>
      <c r="D196" s="1008"/>
      <c r="E196" s="992"/>
      <c r="F196" s="1082">
        <f>F197</f>
        <v>-532969.78</v>
      </c>
      <c r="G196" s="1082">
        <f>G197</f>
        <v>0</v>
      </c>
      <c r="H196" s="1083">
        <f>F196+G196</f>
        <v>-532969.78</v>
      </c>
      <c r="I196" s="969"/>
      <c r="K196" s="1110"/>
    </row>
    <row r="197" spans="2:11" s="970" customFormat="1" ht="18" hidden="1">
      <c r="B197" s="967"/>
      <c r="C197" s="989" t="s">
        <v>71</v>
      </c>
      <c r="D197" s="1008" t="s">
        <v>42</v>
      </c>
      <c r="E197" s="992"/>
      <c r="F197" s="1021">
        <f>'FC-9_TRANS_SUBV'!J40</f>
        <v>-532969.78</v>
      </c>
      <c r="G197" s="1021">
        <v>0</v>
      </c>
      <c r="H197" s="993"/>
      <c r="I197" s="969"/>
      <c r="K197" s="1110"/>
    </row>
    <row r="198" spans="2:11" s="970" customFormat="1" ht="18" hidden="1">
      <c r="B198" s="967"/>
      <c r="C198" s="1081" t="s">
        <v>103</v>
      </c>
      <c r="D198" s="1008"/>
      <c r="E198" s="992"/>
      <c r="F198" s="1082">
        <f>SUM(F199:F203)</f>
        <v>0</v>
      </c>
      <c r="G198" s="1082">
        <f>SUM(G199:G203)</f>
        <v>0</v>
      </c>
      <c r="H198" s="1082">
        <f>SUM(F198:G198)</f>
        <v>0</v>
      </c>
      <c r="I198" s="969"/>
      <c r="K198" s="1110"/>
    </row>
    <row r="199" spans="2:11" s="970" customFormat="1" ht="18" hidden="1">
      <c r="B199" s="967"/>
      <c r="C199" s="1105"/>
      <c r="D199" s="1106"/>
      <c r="E199" s="992"/>
      <c r="F199" s="1099"/>
      <c r="G199" s="1099"/>
      <c r="H199" s="993"/>
      <c r="I199" s="969"/>
      <c r="K199" s="1110"/>
    </row>
    <row r="200" spans="2:11" s="970" customFormat="1" ht="18" hidden="1">
      <c r="B200" s="967"/>
      <c r="C200" s="1105"/>
      <c r="D200" s="1106"/>
      <c r="E200" s="992"/>
      <c r="F200" s="1099"/>
      <c r="G200" s="1099"/>
      <c r="H200" s="993"/>
      <c r="I200" s="969"/>
      <c r="K200" s="1110"/>
    </row>
    <row r="201" spans="2:11" s="970" customFormat="1" ht="18" hidden="1">
      <c r="B201" s="967"/>
      <c r="C201" s="1105"/>
      <c r="D201" s="1106"/>
      <c r="E201" s="992"/>
      <c r="F201" s="1099"/>
      <c r="G201" s="1099"/>
      <c r="H201" s="993"/>
      <c r="I201" s="969"/>
      <c r="K201" s="1110"/>
    </row>
    <row r="202" spans="2:11" s="970" customFormat="1" ht="18" hidden="1">
      <c r="B202" s="967"/>
      <c r="C202" s="1107"/>
      <c r="D202" s="1106"/>
      <c r="E202" s="1057"/>
      <c r="F202" s="1101"/>
      <c r="G202" s="1101"/>
      <c r="H202" s="993"/>
      <c r="I202" s="969"/>
      <c r="K202" s="1110"/>
    </row>
    <row r="203" spans="2:11" s="970" customFormat="1" ht="18.75" thickBot="1">
      <c r="B203" s="967"/>
      <c r="C203" s="1108"/>
      <c r="D203" s="1109"/>
      <c r="E203" s="1085"/>
      <c r="F203" s="1104"/>
      <c r="G203" s="1104"/>
      <c r="H203" s="1086"/>
      <c r="I203" s="969"/>
      <c r="K203" s="1110"/>
    </row>
    <row r="204" spans="2:9" s="970" customFormat="1" ht="15">
      <c r="B204" s="967"/>
      <c r="C204" s="1036"/>
      <c r="D204" s="1073"/>
      <c r="E204" s="1073"/>
      <c r="F204" s="1073"/>
      <c r="G204" s="1073"/>
      <c r="H204" s="1077"/>
      <c r="I204" s="969"/>
    </row>
    <row r="205" spans="2:11" ht="15.75" thickBot="1">
      <c r="B205" s="1087"/>
      <c r="C205" s="1477"/>
      <c r="D205" s="1477"/>
      <c r="E205" s="1088"/>
      <c r="F205" s="1088"/>
      <c r="G205" s="1088"/>
      <c r="H205" s="1089"/>
      <c r="I205" s="1090"/>
      <c r="K205" s="970"/>
    </row>
    <row r="206" spans="3:8" ht="12.75">
      <c r="C206" s="567"/>
      <c r="D206" s="567"/>
      <c r="E206" s="964"/>
      <c r="F206" s="964"/>
      <c r="G206" s="964"/>
      <c r="H206" s="567"/>
    </row>
    <row r="207" spans="3:8" ht="12.75">
      <c r="C207" s="1091" t="s">
        <v>286</v>
      </c>
      <c r="D207" s="567"/>
      <c r="E207" s="964"/>
      <c r="F207" s="964"/>
      <c r="G207" s="964"/>
      <c r="H207" s="954" t="s">
        <v>102</v>
      </c>
    </row>
    <row r="208" spans="3:8" ht="12.75">
      <c r="C208" s="1092" t="s">
        <v>287</v>
      </c>
      <c r="D208" s="567"/>
      <c r="E208" s="964"/>
      <c r="F208" s="964"/>
      <c r="G208" s="964"/>
      <c r="H208" s="567"/>
    </row>
    <row r="209" spans="3:8" ht="12.75">
      <c r="C209" s="1092" t="s">
        <v>288</v>
      </c>
      <c r="D209" s="567"/>
      <c r="E209" s="964"/>
      <c r="F209" s="964"/>
      <c r="G209" s="964"/>
      <c r="H209" s="567"/>
    </row>
    <row r="210" spans="3:8" ht="12.75">
      <c r="C210" s="1092" t="s">
        <v>289</v>
      </c>
      <c r="D210" s="567"/>
      <c r="E210" s="964"/>
      <c r="F210" s="964"/>
      <c r="G210" s="964"/>
      <c r="H210" s="567"/>
    </row>
    <row r="211" spans="3:8" ht="12.75">
      <c r="C211" s="1092" t="s">
        <v>290</v>
      </c>
      <c r="D211" s="567"/>
      <c r="E211" s="964"/>
      <c r="F211" s="964"/>
      <c r="G211" s="964"/>
      <c r="H211" s="567"/>
    </row>
    <row r="212" spans="3:8" ht="12.75">
      <c r="C212" s="567"/>
      <c r="D212" s="567"/>
      <c r="E212" s="964"/>
      <c r="F212" s="964"/>
      <c r="G212" s="964"/>
      <c r="H212" s="567"/>
    </row>
    <row r="213" spans="3:8" ht="12.75">
      <c r="C213" s="567"/>
      <c r="D213" s="567"/>
      <c r="E213" s="964"/>
      <c r="F213" s="964"/>
      <c r="G213" s="964"/>
      <c r="H213" s="567"/>
    </row>
    <row r="214" spans="3:8" ht="12.75">
      <c r="C214" s="567"/>
      <c r="D214" s="567"/>
      <c r="E214" s="964"/>
      <c r="F214" s="964"/>
      <c r="G214" s="964"/>
      <c r="H214" s="567"/>
    </row>
    <row r="215" spans="3:8" s="1002" customFormat="1" ht="20.25">
      <c r="C215" s="1093" t="s">
        <v>76</v>
      </c>
      <c r="D215" s="567"/>
      <c r="E215" s="964"/>
      <c r="F215" s="1094"/>
      <c r="G215" s="1094"/>
      <c r="H215" s="963"/>
    </row>
    <row r="216" spans="3:8" ht="12.75">
      <c r="C216" s="567"/>
      <c r="D216" s="567"/>
      <c r="E216" s="964"/>
      <c r="H216" s="567"/>
    </row>
    <row r="217" spans="3:5" ht="12.75">
      <c r="C217" s="567"/>
      <c r="D217" s="567"/>
      <c r="E217" s="964"/>
    </row>
    <row r="218" spans="3:5" ht="18.75" thickBot="1">
      <c r="C218" s="1060" t="s">
        <v>43</v>
      </c>
      <c r="D218" s="1061"/>
      <c r="E218" s="1062"/>
    </row>
    <row r="219" spans="3:5" ht="22.5" customHeight="1" thickTop="1">
      <c r="C219" s="567"/>
      <c r="D219" s="567" t="s">
        <v>77</v>
      </c>
      <c r="E219" s="964">
        <f>+E168</f>
        <v>4446028.833999999</v>
      </c>
    </row>
    <row r="220" spans="4:5" ht="22.5" customHeight="1">
      <c r="D220" s="559" t="s">
        <v>78</v>
      </c>
      <c r="E220" s="956">
        <f>+'FC-3_CPyG'!G84</f>
        <v>4446028.833999995</v>
      </c>
    </row>
    <row r="221" ht="22.5" customHeight="1">
      <c r="E221" s="1095" t="str">
        <f>IF(ROUND(E219-E220,2)=0,"OK","Mal, revísalo")</f>
        <v>OK</v>
      </c>
    </row>
    <row r="223" spans="4:5" ht="22.5" customHeight="1">
      <c r="D223" s="559" t="s">
        <v>79</v>
      </c>
      <c r="E223" s="956">
        <f>+H168</f>
        <v>-7823762.729469746</v>
      </c>
    </row>
    <row r="224" spans="4:6" ht="22.5" customHeight="1">
      <c r="D224" s="559" t="s">
        <v>80</v>
      </c>
      <c r="E224" s="956">
        <f>+H170</f>
        <v>7823762.7294700015</v>
      </c>
      <c r="F224" s="1267">
        <f>+E224+E223</f>
        <v>2.551823854446411E-07</v>
      </c>
    </row>
    <row r="225" ht="22.5" customHeight="1">
      <c r="E225" s="1095" t="str">
        <f>IF(ROUND(E223+E224,2)=0,"OK","Revísalo")</f>
        <v>OK</v>
      </c>
    </row>
  </sheetData>
  <sheetProtection sheet="1" scenarios="1" selectLockedCells="1" selectUnlockedCells="1"/>
  <mergeCells count="22">
    <mergeCell ref="C68:D68"/>
    <mergeCell ref="C70:D70"/>
    <mergeCell ref="C72:D72"/>
    <mergeCell ref="C83:D83"/>
    <mergeCell ref="C205:D205"/>
    <mergeCell ref="C166:D166"/>
    <mergeCell ref="C127:D127"/>
    <mergeCell ref="C145:D145"/>
    <mergeCell ref="C86:D86"/>
    <mergeCell ref="C116:D116"/>
    <mergeCell ref="H171:H173"/>
    <mergeCell ref="G171:G173"/>
    <mergeCell ref="C147:D147"/>
    <mergeCell ref="C152:D152"/>
    <mergeCell ref="C170:D170"/>
    <mergeCell ref="F171:F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SheetLayoutView="50" zoomScalePageLayoutView="0" workbookViewId="0" topLeftCell="A1">
      <selection activeCell="M21" sqref="M21"/>
    </sheetView>
  </sheetViews>
  <sheetFormatPr defaultColWidth="10.6640625" defaultRowHeight="22.5" customHeight="1"/>
  <cols>
    <col min="1" max="1" width="4.6640625" style="2" bestFit="1" customWidth="1"/>
    <col min="2" max="2" width="3.3359375" style="2" customWidth="1"/>
    <col min="3" max="3" width="12.3359375" style="2" customWidth="1"/>
    <col min="4" max="4" width="7.5546875" style="2" customWidth="1"/>
    <col min="5" max="5" width="15.3359375" style="2" customWidth="1"/>
    <col min="6" max="7" width="18.3359375" style="2" customWidth="1"/>
    <col min="8" max="8" width="12.99609375" style="2" customWidth="1"/>
    <col min="9" max="9" width="3.5546875" style="2" customWidth="1"/>
    <col min="10" max="16384" width="10.6640625" style="2" customWidth="1"/>
  </cols>
  <sheetData>
    <row r="1" ht="22.5" customHeight="1">
      <c r="E1" s="3"/>
    </row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887" t="s">
        <v>82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364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6"/>
    </row>
    <row r="6" spans="2:24" ht="30" customHeight="1">
      <c r="B6" s="8"/>
      <c r="C6" s="1" t="s">
        <v>216</v>
      </c>
      <c r="D6" s="22"/>
      <c r="E6" s="22"/>
      <c r="F6" s="22"/>
      <c r="G6" s="3"/>
      <c r="H6" s="1285">
        <f>ejercicio</f>
        <v>2020</v>
      </c>
      <c r="I6" s="9"/>
      <c r="K6" s="367"/>
      <c r="L6" s="368" t="s">
        <v>906</v>
      </c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70"/>
    </row>
    <row r="7" spans="2:24" ht="30" customHeight="1">
      <c r="B7" s="8"/>
      <c r="C7" s="1" t="s">
        <v>217</v>
      </c>
      <c r="D7" s="3"/>
      <c r="E7" s="3"/>
      <c r="F7" s="3"/>
      <c r="G7" s="3"/>
      <c r="H7" s="1285">
        <v>2018</v>
      </c>
      <c r="I7" s="9"/>
      <c r="K7" s="367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70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367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70"/>
    </row>
    <row r="9" spans="2:24" ht="30" customHeight="1">
      <c r="B9" s="8"/>
      <c r="C9" s="38" t="s">
        <v>218</v>
      </c>
      <c r="D9" s="1290" t="str">
        <f>Entidad</f>
        <v>INSTITUTO TECNOLOGICO Y DE ENERGIAS RENOVABLES S.A.</v>
      </c>
      <c r="E9" s="1290"/>
      <c r="F9" s="1290"/>
      <c r="G9" s="1290"/>
      <c r="H9" s="1290"/>
      <c r="I9" s="9"/>
      <c r="K9" s="371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3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367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70"/>
    </row>
    <row r="11" spans="2:24" s="12" customFormat="1" ht="30" customHeight="1">
      <c r="B11" s="23"/>
      <c r="C11" s="11" t="s">
        <v>285</v>
      </c>
      <c r="D11" s="11"/>
      <c r="E11" s="11"/>
      <c r="F11" s="11"/>
      <c r="G11" s="11"/>
      <c r="H11" s="11"/>
      <c r="I11" s="24"/>
      <c r="K11" s="374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6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374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6"/>
    </row>
    <row r="13" spans="2:24" ht="22.5" customHeight="1">
      <c r="B13" s="8"/>
      <c r="C13" s="13" t="s">
        <v>886</v>
      </c>
      <c r="D13" s="13"/>
      <c r="E13" s="13"/>
      <c r="F13" s="13"/>
      <c r="G13" s="13"/>
      <c r="H13" s="485">
        <f>+H15+H19</f>
        <v>10</v>
      </c>
      <c r="I13" s="9"/>
      <c r="K13" s="367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70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367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70"/>
    </row>
    <row r="15" spans="2:24" ht="22.5" customHeight="1">
      <c r="B15" s="8"/>
      <c r="C15" s="3"/>
      <c r="D15" s="486" t="s">
        <v>887</v>
      </c>
      <c r="E15" s="486"/>
      <c r="F15" s="486"/>
      <c r="G15" s="486"/>
      <c r="H15" s="487">
        <f>H16+H17</f>
        <v>10</v>
      </c>
      <c r="I15" s="9"/>
      <c r="K15" s="367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70"/>
    </row>
    <row r="16" spans="2:24" ht="22.5" customHeight="1">
      <c r="B16" s="8"/>
      <c r="C16" s="3"/>
      <c r="D16" s="3"/>
      <c r="E16" s="25" t="s">
        <v>219</v>
      </c>
      <c r="F16" s="25"/>
      <c r="G16" s="25"/>
      <c r="H16" s="397">
        <v>10</v>
      </c>
      <c r="I16" s="9"/>
      <c r="K16" s="367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70"/>
    </row>
    <row r="17" spans="2:24" ht="22.5" customHeight="1">
      <c r="B17" s="8"/>
      <c r="C17" s="3"/>
      <c r="D17" s="3"/>
      <c r="E17" s="25" t="s">
        <v>220</v>
      </c>
      <c r="F17" s="25"/>
      <c r="G17" s="25"/>
      <c r="H17" s="397"/>
      <c r="I17" s="9"/>
      <c r="K17" s="367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70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367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70"/>
    </row>
    <row r="19" spans="2:24" ht="22.5" customHeight="1">
      <c r="B19" s="8"/>
      <c r="C19" s="3"/>
      <c r="D19" s="486" t="s">
        <v>888</v>
      </c>
      <c r="E19" s="486"/>
      <c r="F19" s="486"/>
      <c r="G19" s="486"/>
      <c r="H19" s="488"/>
      <c r="I19" s="9"/>
      <c r="K19" s="367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70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367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70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367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70"/>
    </row>
    <row r="22" spans="2:24" ht="30.75" customHeight="1">
      <c r="B22" s="8"/>
      <c r="C22" s="26" t="s">
        <v>222</v>
      </c>
      <c r="D22" s="26" t="s">
        <v>221</v>
      </c>
      <c r="E22" s="26"/>
      <c r="F22" s="26"/>
      <c r="G22" s="26"/>
      <c r="H22" s="27" t="s">
        <v>223</v>
      </c>
      <c r="I22" s="9"/>
      <c r="K22" s="367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70"/>
    </row>
    <row r="23" spans="2:24" ht="22.5" customHeight="1">
      <c r="B23" s="8"/>
      <c r="C23" s="28" t="s">
        <v>889</v>
      </c>
      <c r="D23" s="1252" t="s">
        <v>970</v>
      </c>
      <c r="E23" s="1252"/>
      <c r="F23" s="1252"/>
      <c r="G23" s="398"/>
      <c r="H23" s="398">
        <v>43752</v>
      </c>
      <c r="I23" s="9"/>
      <c r="K23" s="367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70"/>
    </row>
    <row r="24" spans="2:24" ht="22.5" customHeight="1">
      <c r="B24" s="8"/>
      <c r="C24" s="29" t="s">
        <v>890</v>
      </c>
      <c r="D24" s="489" t="s">
        <v>1080</v>
      </c>
      <c r="E24" s="489"/>
      <c r="F24" s="489"/>
      <c r="G24" s="399"/>
      <c r="H24" s="399">
        <v>43763</v>
      </c>
      <c r="I24" s="9"/>
      <c r="K24" s="367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70"/>
    </row>
    <row r="25" spans="2:24" ht="22.5" customHeight="1">
      <c r="B25" s="8"/>
      <c r="C25" s="29" t="s">
        <v>891</v>
      </c>
      <c r="D25" s="489" t="s">
        <v>971</v>
      </c>
      <c r="E25" s="489"/>
      <c r="F25" s="489"/>
      <c r="G25" s="398"/>
      <c r="H25" s="399">
        <v>43752</v>
      </c>
      <c r="I25" s="9"/>
      <c r="K25" s="367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70"/>
    </row>
    <row r="26" spans="2:24" ht="22.5" customHeight="1">
      <c r="B26" s="8"/>
      <c r="C26" s="29" t="s">
        <v>892</v>
      </c>
      <c r="D26" s="489"/>
      <c r="E26" s="489"/>
      <c r="F26" s="489"/>
      <c r="G26" s="399"/>
      <c r="H26" s="399"/>
      <c r="I26" s="9"/>
      <c r="K26" s="367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70"/>
    </row>
    <row r="27" spans="2:24" ht="22.5" customHeight="1">
      <c r="B27" s="8"/>
      <c r="C27" s="29" t="s">
        <v>224</v>
      </c>
      <c r="D27" s="489" t="s">
        <v>972</v>
      </c>
      <c r="E27" s="489"/>
      <c r="F27" s="489"/>
      <c r="G27" s="398"/>
      <c r="H27" s="399">
        <v>43752</v>
      </c>
      <c r="I27" s="9"/>
      <c r="K27" s="367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70"/>
    </row>
    <row r="28" spans="2:24" ht="22.5" customHeight="1">
      <c r="B28" s="8"/>
      <c r="C28" s="29" t="s">
        <v>225</v>
      </c>
      <c r="D28" s="489" t="s">
        <v>973</v>
      </c>
      <c r="E28" s="489"/>
      <c r="F28" s="489"/>
      <c r="G28" s="398"/>
      <c r="H28" s="399">
        <v>43752</v>
      </c>
      <c r="I28" s="9"/>
      <c r="K28" s="367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70"/>
    </row>
    <row r="29" spans="2:24" ht="22.5" customHeight="1">
      <c r="B29" s="8"/>
      <c r="C29" s="29" t="s">
        <v>226</v>
      </c>
      <c r="D29" s="489" t="s">
        <v>974</v>
      </c>
      <c r="E29" s="489"/>
      <c r="F29" s="489"/>
      <c r="G29" s="398"/>
      <c r="H29" s="399">
        <v>43752</v>
      </c>
      <c r="I29" s="9"/>
      <c r="K29" s="367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70"/>
    </row>
    <row r="30" spans="2:24" ht="22.5" customHeight="1">
      <c r="B30" s="8"/>
      <c r="C30" s="29" t="s">
        <v>227</v>
      </c>
      <c r="D30" s="489" t="s">
        <v>975</v>
      </c>
      <c r="E30" s="489"/>
      <c r="F30" s="489"/>
      <c r="G30" s="398"/>
      <c r="H30" s="399">
        <v>43752</v>
      </c>
      <c r="I30" s="9"/>
      <c r="K30" s="378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80"/>
    </row>
    <row r="31" spans="2:24" ht="22.5" customHeight="1">
      <c r="B31" s="8"/>
      <c r="C31" s="29" t="s">
        <v>228</v>
      </c>
      <c r="D31" s="489" t="s">
        <v>976</v>
      </c>
      <c r="E31" s="489"/>
      <c r="F31" s="489"/>
      <c r="G31" s="398"/>
      <c r="H31" s="399">
        <v>43752</v>
      </c>
      <c r="I31" s="9"/>
      <c r="K31" s="378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80"/>
    </row>
    <row r="32" spans="2:24" ht="22.5" customHeight="1">
      <c r="B32" s="8"/>
      <c r="C32" s="29" t="s">
        <v>229</v>
      </c>
      <c r="D32" s="489" t="s">
        <v>977</v>
      </c>
      <c r="E32" s="489"/>
      <c r="F32" s="489"/>
      <c r="G32" s="398"/>
      <c r="H32" s="399">
        <v>43752</v>
      </c>
      <c r="I32" s="9"/>
      <c r="K32" s="367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70"/>
    </row>
    <row r="33" spans="2:24" ht="22.5" customHeight="1">
      <c r="B33" s="8"/>
      <c r="C33" s="29" t="s">
        <v>230</v>
      </c>
      <c r="D33" s="489" t="s">
        <v>978</v>
      </c>
      <c r="E33" s="489"/>
      <c r="F33" s="489"/>
      <c r="G33" s="398"/>
      <c r="H33" s="399">
        <v>43752</v>
      </c>
      <c r="I33" s="9"/>
      <c r="K33" s="367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70"/>
    </row>
    <row r="34" spans="2:24" ht="22.5" customHeight="1">
      <c r="B34" s="8"/>
      <c r="C34" s="29" t="s">
        <v>231</v>
      </c>
      <c r="D34" s="489" t="s">
        <v>1081</v>
      </c>
      <c r="E34" s="489"/>
      <c r="F34" s="489"/>
      <c r="G34" s="398"/>
      <c r="H34" s="399">
        <v>43763</v>
      </c>
      <c r="I34" s="9"/>
      <c r="K34" s="367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70"/>
    </row>
    <row r="35" spans="2:24" ht="22.5" customHeight="1">
      <c r="B35" s="8"/>
      <c r="C35" s="29" t="s">
        <v>232</v>
      </c>
      <c r="D35" s="489"/>
      <c r="E35" s="489"/>
      <c r="F35" s="489"/>
      <c r="G35" s="489"/>
      <c r="H35" s="399"/>
      <c r="I35" s="9"/>
      <c r="K35" s="367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70"/>
    </row>
    <row r="36" spans="2:24" ht="22.5" customHeight="1">
      <c r="B36" s="8"/>
      <c r="C36" s="29" t="s">
        <v>233</v>
      </c>
      <c r="D36" s="489"/>
      <c r="E36" s="489"/>
      <c r="F36" s="489"/>
      <c r="G36" s="489"/>
      <c r="H36" s="399"/>
      <c r="I36" s="9"/>
      <c r="K36" s="381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3"/>
    </row>
    <row r="37" spans="2:24" ht="22.5" customHeight="1">
      <c r="B37" s="8"/>
      <c r="C37" s="29" t="s">
        <v>234</v>
      </c>
      <c r="D37" s="489"/>
      <c r="E37" s="489"/>
      <c r="F37" s="489"/>
      <c r="G37" s="489"/>
      <c r="H37" s="399"/>
      <c r="I37" s="9"/>
      <c r="K37" s="381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3"/>
    </row>
    <row r="38" spans="2:24" ht="22.5" customHeight="1">
      <c r="B38" s="8"/>
      <c r="C38" s="29" t="s">
        <v>235</v>
      </c>
      <c r="D38" s="489"/>
      <c r="E38" s="489"/>
      <c r="F38" s="489"/>
      <c r="G38" s="489"/>
      <c r="H38" s="399"/>
      <c r="I38" s="9"/>
      <c r="K38" s="381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3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381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3"/>
    </row>
    <row r="40" spans="2:24" ht="22.5" customHeight="1">
      <c r="B40" s="8"/>
      <c r="C40" s="33" t="s">
        <v>893</v>
      </c>
      <c r="D40" s="490" t="s">
        <v>979</v>
      </c>
      <c r="E40" s="490"/>
      <c r="F40" s="490"/>
      <c r="G40" s="490"/>
      <c r="H40" s="400">
        <v>43752</v>
      </c>
      <c r="I40" s="9"/>
      <c r="K40" s="367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70"/>
    </row>
    <row r="41" spans="2:24" ht="22.5" customHeight="1">
      <c r="B41" s="8"/>
      <c r="C41" s="33" t="s">
        <v>251</v>
      </c>
      <c r="D41" s="489" t="s">
        <v>1206</v>
      </c>
      <c r="E41" s="489"/>
      <c r="F41" s="489"/>
      <c r="G41" s="489"/>
      <c r="H41" s="400">
        <v>43752</v>
      </c>
      <c r="I41" s="9"/>
      <c r="K41" s="367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70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384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6"/>
    </row>
    <row r="43" spans="7:10" ht="22.5" customHeight="1">
      <c r="G43" s="35"/>
      <c r="J43" s="887" t="s">
        <v>83</v>
      </c>
    </row>
    <row r="44" spans="3:25" s="41" customFormat="1" ht="15">
      <c r="C44" s="36" t="s">
        <v>286</v>
      </c>
      <c r="G44" s="42"/>
      <c r="H44" s="40" t="s">
        <v>252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287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288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289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290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SheetLayoutView="50" zoomScalePageLayoutView="0" workbookViewId="0" topLeftCell="B7">
      <selection activeCell="S16" sqref="S16:X23"/>
    </sheetView>
  </sheetViews>
  <sheetFormatPr defaultColWidth="10.6640625" defaultRowHeight="22.5" customHeight="1"/>
  <cols>
    <col min="1" max="1" width="4.3359375" style="658" bestFit="1" customWidth="1"/>
    <col min="2" max="2" width="3.3359375" style="658" customWidth="1"/>
    <col min="3" max="3" width="13.5546875" style="658" customWidth="1"/>
    <col min="4" max="4" width="16.3359375" style="658" customWidth="1"/>
    <col min="5" max="5" width="13.99609375" style="658" customWidth="1"/>
    <col min="6" max="7" width="16.3359375" style="658" customWidth="1"/>
    <col min="8" max="8" width="10.3359375" style="658" customWidth="1"/>
    <col min="9" max="9" width="12.99609375" style="658" customWidth="1"/>
    <col min="10" max="10" width="10.6640625" style="658" customWidth="1"/>
    <col min="11" max="11" width="1.99609375" style="658" customWidth="1"/>
    <col min="12" max="12" width="12.6640625" style="658" customWidth="1"/>
    <col min="13" max="15" width="10.6640625" style="658" customWidth="1"/>
    <col min="16" max="16" width="30.4453125" style="658" customWidth="1"/>
    <col min="17" max="17" width="3.3359375" style="658" customWidth="1"/>
    <col min="18" max="16384" width="10.6640625" style="658" customWidth="1"/>
  </cols>
  <sheetData>
    <row r="1" ht="22.5" customHeight="1">
      <c r="D1" s="659"/>
    </row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658" t="s">
        <v>82</v>
      </c>
    </row>
    <row r="5" spans="2:32" ht="9" customHeight="1">
      <c r="B5" s="660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2"/>
      <c r="S5" s="364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6"/>
    </row>
    <row r="6" spans="2:32" ht="30" customHeight="1">
      <c r="B6" s="663"/>
      <c r="C6" s="664" t="s">
        <v>216</v>
      </c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P6" s="1291">
        <f>ejercicio</f>
        <v>2020</v>
      </c>
      <c r="Q6" s="665"/>
      <c r="S6" s="367"/>
      <c r="T6" s="368" t="s">
        <v>906</v>
      </c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70"/>
    </row>
    <row r="7" spans="2:32" ht="30" customHeight="1">
      <c r="B7" s="663"/>
      <c r="C7" s="664" t="s">
        <v>217</v>
      </c>
      <c r="D7" s="659"/>
      <c r="E7" s="659"/>
      <c r="F7" s="659"/>
      <c r="G7" s="659"/>
      <c r="H7" s="659"/>
      <c r="I7" s="659"/>
      <c r="J7" s="659"/>
      <c r="K7" s="659"/>
      <c r="L7" s="659"/>
      <c r="M7" s="666"/>
      <c r="N7" s="659"/>
      <c r="P7" s="1291"/>
      <c r="Q7" s="665"/>
      <c r="S7" s="367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70"/>
    </row>
    <row r="8" spans="2:32" ht="30" customHeight="1">
      <c r="B8" s="663"/>
      <c r="C8" s="667"/>
      <c r="D8" s="659"/>
      <c r="E8" s="659"/>
      <c r="F8" s="659"/>
      <c r="G8" s="659"/>
      <c r="H8" s="659"/>
      <c r="I8" s="659"/>
      <c r="J8" s="659"/>
      <c r="K8" s="659"/>
      <c r="L8" s="659"/>
      <c r="M8" s="666"/>
      <c r="N8" s="659"/>
      <c r="O8" s="668"/>
      <c r="P8" s="668"/>
      <c r="Q8" s="665"/>
      <c r="S8" s="367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70"/>
    </row>
    <row r="9" spans="2:32" s="672" customFormat="1" ht="30" customHeight="1">
      <c r="B9" s="669"/>
      <c r="C9" s="670" t="s">
        <v>218</v>
      </c>
      <c r="D9" s="1293" t="str">
        <f>Entidad</f>
        <v>INSTITUTO TECNOLOGICO Y DE ENERGIAS RENOVABLES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653"/>
      <c r="Q9" s="671"/>
      <c r="S9" s="371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3"/>
    </row>
    <row r="10" spans="2:32" ht="6.75" customHeight="1">
      <c r="B10" s="663"/>
      <c r="C10" s="659"/>
      <c r="D10" s="659"/>
      <c r="E10" s="659"/>
      <c r="F10" s="659"/>
      <c r="G10" s="659"/>
      <c r="H10" s="659"/>
      <c r="I10" s="666"/>
      <c r="J10" s="659"/>
      <c r="K10" s="659"/>
      <c r="L10" s="659"/>
      <c r="M10" s="659"/>
      <c r="N10" s="659"/>
      <c r="O10" s="659"/>
      <c r="P10" s="659"/>
      <c r="Q10" s="665"/>
      <c r="S10" s="367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70"/>
    </row>
    <row r="11" spans="2:32" s="676" customFormat="1" ht="30" customHeight="1">
      <c r="B11" s="673"/>
      <c r="C11" s="674" t="s">
        <v>292</v>
      </c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5"/>
      <c r="S11" s="374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6"/>
    </row>
    <row r="12" spans="2:32" ht="22.5" customHeight="1">
      <c r="B12" s="663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65"/>
      <c r="S12" s="374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6"/>
    </row>
    <row r="13" spans="2:32" ht="22.5" customHeight="1">
      <c r="B13" s="663"/>
      <c r="C13" s="677" t="s">
        <v>84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65"/>
      <c r="S13" s="367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70"/>
    </row>
    <row r="14" spans="2:32" ht="22.5" customHeight="1">
      <c r="B14" s="663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5"/>
      <c r="S14" s="367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70"/>
    </row>
    <row r="15" spans="2:32" ht="22.5" customHeight="1">
      <c r="B15" s="663"/>
      <c r="C15" s="659"/>
      <c r="D15" s="659"/>
      <c r="E15" s="659"/>
      <c r="F15" s="1297" t="s">
        <v>949</v>
      </c>
      <c r="G15" s="1297"/>
      <c r="H15" s="1297"/>
      <c r="I15" s="678">
        <f>ejercicio-2</f>
        <v>2018</v>
      </c>
      <c r="J15" s="679"/>
      <c r="K15" s="659"/>
      <c r="L15" s="1297" t="s">
        <v>948</v>
      </c>
      <c r="M15" s="1297"/>
      <c r="N15" s="1297"/>
      <c r="O15" s="680">
        <f>ejercicio-1</f>
        <v>2019</v>
      </c>
      <c r="P15" s="681"/>
      <c r="Q15" s="665"/>
      <c r="S15" s="367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</row>
    <row r="16" spans="2:32" s="689" customFormat="1" ht="51" customHeight="1">
      <c r="B16" s="682"/>
      <c r="C16" s="683" t="s">
        <v>236</v>
      </c>
      <c r="D16" s="683"/>
      <c r="E16" s="684" t="s">
        <v>237</v>
      </c>
      <c r="F16" s="684" t="s">
        <v>238</v>
      </c>
      <c r="G16" s="684" t="s">
        <v>946</v>
      </c>
      <c r="H16" s="685" t="s">
        <v>945</v>
      </c>
      <c r="I16" s="684" t="s">
        <v>87</v>
      </c>
      <c r="J16" s="684" t="s">
        <v>88</v>
      </c>
      <c r="K16" s="684"/>
      <c r="L16" s="686" t="s">
        <v>950</v>
      </c>
      <c r="M16" s="686" t="s">
        <v>240</v>
      </c>
      <c r="N16" s="686" t="s">
        <v>951</v>
      </c>
      <c r="O16" s="686" t="s">
        <v>242</v>
      </c>
      <c r="P16" s="687" t="s">
        <v>796</v>
      </c>
      <c r="Q16" s="688"/>
      <c r="S16" s="367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70"/>
    </row>
    <row r="17" spans="2:32" ht="22.5" customHeight="1">
      <c r="B17" s="663"/>
      <c r="C17" s="401" t="s">
        <v>286</v>
      </c>
      <c r="D17" s="401"/>
      <c r="E17" s="700" t="s">
        <v>980</v>
      </c>
      <c r="F17" s="402">
        <v>0.9285612427889289</v>
      </c>
      <c r="G17" s="698">
        <f>413761+16005</f>
        <v>429766</v>
      </c>
      <c r="H17" s="698" t="s">
        <v>981</v>
      </c>
      <c r="I17" s="404">
        <v>60.1</v>
      </c>
      <c r="J17" s="404">
        <f>'FC-4_PASIVO'!E16/SUM('FC-2_ACCIONISTAS'!G17:G20)</f>
        <v>275.2471382365015</v>
      </c>
      <c r="K17" s="404"/>
      <c r="L17" s="404">
        <f>M17*60.1</f>
        <v>5886133.9</v>
      </c>
      <c r="M17" s="404">
        <f>527705-G17</f>
        <v>97939</v>
      </c>
      <c r="N17" s="404"/>
      <c r="O17" s="404"/>
      <c r="P17" s="1251" t="s">
        <v>1083</v>
      </c>
      <c r="Q17" s="665"/>
      <c r="S17" s="367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70"/>
    </row>
    <row r="18" spans="2:32" ht="22.5" customHeight="1">
      <c r="B18" s="663"/>
      <c r="C18" s="405" t="s">
        <v>286</v>
      </c>
      <c r="D18" s="405"/>
      <c r="E18" s="701" t="s">
        <v>980</v>
      </c>
      <c r="F18" s="406">
        <v>0.009578030810448761</v>
      </c>
      <c r="G18" s="699">
        <f>3800+633</f>
        <v>4433</v>
      </c>
      <c r="H18" s="699" t="s">
        <v>982</v>
      </c>
      <c r="I18" s="408">
        <v>60.1</v>
      </c>
      <c r="J18" s="408">
        <f>+J17</f>
        <v>275.2471382365015</v>
      </c>
      <c r="K18" s="408"/>
      <c r="L18" s="408">
        <f>M18*60.1</f>
        <v>232887.5</v>
      </c>
      <c r="M18" s="408">
        <f>8308-G18</f>
        <v>3875</v>
      </c>
      <c r="N18" s="408"/>
      <c r="O18" s="408"/>
      <c r="P18" s="1249" t="s">
        <v>1084</v>
      </c>
      <c r="Q18" s="665"/>
      <c r="S18" s="367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70"/>
    </row>
    <row r="19" spans="2:32" ht="22.5" customHeight="1">
      <c r="B19" s="663"/>
      <c r="C19" s="405" t="s">
        <v>983</v>
      </c>
      <c r="D19" s="405"/>
      <c r="E19" s="701" t="s">
        <v>984</v>
      </c>
      <c r="F19" s="406">
        <v>0.027167642546939482</v>
      </c>
      <c r="G19" s="699">
        <v>12574</v>
      </c>
      <c r="H19" s="699" t="s">
        <v>982</v>
      </c>
      <c r="I19" s="408">
        <v>60.1</v>
      </c>
      <c r="J19" s="408">
        <f>+J18</f>
        <v>275.2471382365015</v>
      </c>
      <c r="K19" s="408"/>
      <c r="L19" s="408"/>
      <c r="M19" s="408"/>
      <c r="N19" s="408"/>
      <c r="O19" s="408"/>
      <c r="P19" s="1249" t="s">
        <v>1085</v>
      </c>
      <c r="Q19" s="665"/>
      <c r="S19" s="367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70"/>
    </row>
    <row r="20" spans="2:32" ht="22.5" customHeight="1">
      <c r="B20" s="663"/>
      <c r="C20" s="405" t="s">
        <v>985</v>
      </c>
      <c r="D20" s="405"/>
      <c r="E20" s="701" t="s">
        <v>986</v>
      </c>
      <c r="F20" s="406">
        <v>0.03469308385368278</v>
      </c>
      <c r="G20" s="699">
        <v>16057</v>
      </c>
      <c r="H20" s="699" t="s">
        <v>982</v>
      </c>
      <c r="I20" s="408">
        <v>60.1</v>
      </c>
      <c r="J20" s="408">
        <f>+J19</f>
        <v>275.2471382365015</v>
      </c>
      <c r="K20" s="408"/>
      <c r="L20" s="408"/>
      <c r="M20" s="408"/>
      <c r="N20" s="408">
        <v>-2000000</v>
      </c>
      <c r="O20" s="408">
        <v>16057</v>
      </c>
      <c r="P20" s="1249"/>
      <c r="Q20" s="665"/>
      <c r="S20" s="367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70"/>
    </row>
    <row r="21" spans="2:32" ht="22.5" customHeight="1">
      <c r="B21" s="663"/>
      <c r="C21" s="405"/>
      <c r="D21" s="405"/>
      <c r="E21" s="701"/>
      <c r="F21" s="406"/>
      <c r="G21" s="699"/>
      <c r="H21" s="699"/>
      <c r="I21" s="408"/>
      <c r="J21" s="408"/>
      <c r="K21" s="408"/>
      <c r="L21" s="408"/>
      <c r="M21" s="408"/>
      <c r="N21" s="408"/>
      <c r="O21" s="408"/>
      <c r="P21" s="408"/>
      <c r="Q21" s="665"/>
      <c r="S21" s="367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70"/>
    </row>
    <row r="22" spans="2:32" ht="22.5" customHeight="1">
      <c r="B22" s="663"/>
      <c r="C22" s="405"/>
      <c r="D22" s="405"/>
      <c r="E22" s="701"/>
      <c r="F22" s="406"/>
      <c r="G22" s="699"/>
      <c r="H22" s="699"/>
      <c r="I22" s="408"/>
      <c r="J22" s="408"/>
      <c r="K22" s="408"/>
      <c r="L22" s="408"/>
      <c r="M22" s="408"/>
      <c r="N22" s="408"/>
      <c r="O22" s="408"/>
      <c r="P22" s="408"/>
      <c r="Q22" s="665"/>
      <c r="S22" s="367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70"/>
    </row>
    <row r="23" spans="2:32" ht="22.5" customHeight="1">
      <c r="B23" s="663"/>
      <c r="C23" s="405"/>
      <c r="D23" s="405"/>
      <c r="E23" s="701"/>
      <c r="F23" s="406"/>
      <c r="G23" s="699"/>
      <c r="H23" s="699"/>
      <c r="I23" s="408"/>
      <c r="J23" s="408"/>
      <c r="K23" s="408"/>
      <c r="L23" s="408"/>
      <c r="M23" s="408"/>
      <c r="N23" s="408"/>
      <c r="O23" s="408"/>
      <c r="P23" s="408"/>
      <c r="Q23" s="665"/>
      <c r="S23" s="367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70"/>
    </row>
    <row r="24" spans="2:32" ht="22.5" customHeight="1">
      <c r="B24" s="663"/>
      <c r="C24" s="405"/>
      <c r="D24" s="405"/>
      <c r="E24" s="701"/>
      <c r="F24" s="406"/>
      <c r="G24" s="699"/>
      <c r="H24" s="699"/>
      <c r="I24" s="408"/>
      <c r="J24" s="408"/>
      <c r="K24" s="408"/>
      <c r="L24" s="408"/>
      <c r="M24" s="408"/>
      <c r="N24" s="408"/>
      <c r="O24" s="408"/>
      <c r="P24" s="408"/>
      <c r="Q24" s="665"/>
      <c r="S24" s="367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70"/>
    </row>
    <row r="25" spans="2:32" ht="22.5" customHeight="1">
      <c r="B25" s="663"/>
      <c r="C25" s="405"/>
      <c r="D25" s="405"/>
      <c r="E25" s="701"/>
      <c r="F25" s="406"/>
      <c r="G25" s="699"/>
      <c r="H25" s="699"/>
      <c r="I25" s="408"/>
      <c r="J25" s="408"/>
      <c r="K25" s="408"/>
      <c r="L25" s="408"/>
      <c r="M25" s="408"/>
      <c r="N25" s="408"/>
      <c r="O25" s="408"/>
      <c r="P25" s="408"/>
      <c r="Q25" s="665"/>
      <c r="S25" s="367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70"/>
    </row>
    <row r="26" spans="2:32" ht="22.5" customHeight="1">
      <c r="B26" s="663"/>
      <c r="C26" s="405"/>
      <c r="D26" s="405"/>
      <c r="E26" s="701"/>
      <c r="F26" s="406"/>
      <c r="G26" s="699"/>
      <c r="H26" s="699"/>
      <c r="I26" s="408"/>
      <c r="J26" s="408"/>
      <c r="K26" s="408"/>
      <c r="L26" s="408"/>
      <c r="M26" s="408"/>
      <c r="N26" s="408"/>
      <c r="O26" s="408"/>
      <c r="P26" s="408"/>
      <c r="Q26" s="665"/>
      <c r="S26" s="367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70"/>
    </row>
    <row r="27" spans="2:32" ht="22.5" customHeight="1">
      <c r="B27" s="663"/>
      <c r="C27" s="405"/>
      <c r="D27" s="405"/>
      <c r="E27" s="701"/>
      <c r="F27" s="406"/>
      <c r="G27" s="699"/>
      <c r="H27" s="699"/>
      <c r="I27" s="408"/>
      <c r="J27" s="408"/>
      <c r="K27" s="408"/>
      <c r="L27" s="408"/>
      <c r="M27" s="408"/>
      <c r="N27" s="408"/>
      <c r="O27" s="408"/>
      <c r="P27" s="408"/>
      <c r="Q27" s="665"/>
      <c r="S27" s="367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70"/>
    </row>
    <row r="28" spans="2:32" ht="22.5" customHeight="1">
      <c r="B28" s="663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65"/>
      <c r="S28" s="367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70"/>
    </row>
    <row r="29" spans="2:32" ht="22.5" customHeight="1">
      <c r="B29" s="663"/>
      <c r="C29" s="677" t="s">
        <v>243</v>
      </c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65"/>
      <c r="S29" s="367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70"/>
    </row>
    <row r="30" spans="2:32" ht="22.5" customHeight="1">
      <c r="B30" s="663"/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5"/>
      <c r="S30" s="378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80"/>
    </row>
    <row r="31" spans="2:32" ht="22.5" customHeight="1">
      <c r="B31" s="663"/>
      <c r="C31" s="659"/>
      <c r="D31" s="659"/>
      <c r="E31" s="659"/>
      <c r="F31" s="1297" t="s">
        <v>949</v>
      </c>
      <c r="G31" s="1297"/>
      <c r="H31" s="1297"/>
      <c r="I31" s="678">
        <f>ejercicio-2</f>
        <v>2018</v>
      </c>
      <c r="J31" s="679"/>
      <c r="K31" s="659"/>
      <c r="L31" s="1298" t="s">
        <v>948</v>
      </c>
      <c r="M31" s="1298"/>
      <c r="N31" s="1298"/>
      <c r="O31" s="690">
        <f>ejercicio-1</f>
        <v>2019</v>
      </c>
      <c r="Q31" s="665"/>
      <c r="S31" s="378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80"/>
    </row>
    <row r="32" spans="2:32" ht="43.5" customHeight="1">
      <c r="B32" s="663"/>
      <c r="C32" s="683" t="s">
        <v>236</v>
      </c>
      <c r="D32" s="683"/>
      <c r="E32" s="684" t="s">
        <v>237</v>
      </c>
      <c r="F32" s="684" t="s">
        <v>238</v>
      </c>
      <c r="G32" s="684" t="s">
        <v>946</v>
      </c>
      <c r="H32" s="685" t="s">
        <v>945</v>
      </c>
      <c r="I32" s="684" t="s">
        <v>87</v>
      </c>
      <c r="J32" s="684" t="s">
        <v>244</v>
      </c>
      <c r="K32" s="684"/>
      <c r="L32" s="684" t="s">
        <v>239</v>
      </c>
      <c r="M32" s="684" t="s">
        <v>240</v>
      </c>
      <c r="N32" s="684" t="s">
        <v>241</v>
      </c>
      <c r="O32" s="684" t="s">
        <v>242</v>
      </c>
      <c r="P32" s="687" t="s">
        <v>796</v>
      </c>
      <c r="Q32" s="665"/>
      <c r="S32" s="367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70"/>
    </row>
    <row r="33" spans="2:32" ht="22.5" customHeight="1">
      <c r="B33" s="663"/>
      <c r="C33" s="401" t="s">
        <v>987</v>
      </c>
      <c r="D33" s="401"/>
      <c r="E33" s="700" t="s">
        <v>988</v>
      </c>
      <c r="F33" s="491">
        <v>0.5</v>
      </c>
      <c r="G33" s="698">
        <v>35</v>
      </c>
      <c r="H33" s="403" t="s">
        <v>986</v>
      </c>
      <c r="I33" s="404">
        <v>6010.12</v>
      </c>
      <c r="J33" s="404"/>
      <c r="K33" s="404"/>
      <c r="L33" s="404"/>
      <c r="M33" s="404"/>
      <c r="N33" s="404"/>
      <c r="O33" s="404"/>
      <c r="P33" s="404"/>
      <c r="Q33" s="665"/>
      <c r="S33" s="367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70"/>
    </row>
    <row r="34" spans="2:32" ht="22.5" customHeight="1">
      <c r="B34" s="663"/>
      <c r="C34" s="405" t="s">
        <v>989</v>
      </c>
      <c r="D34" s="405"/>
      <c r="E34" s="701" t="s">
        <v>990</v>
      </c>
      <c r="F34" s="492">
        <v>0.3994</v>
      </c>
      <c r="G34" s="699">
        <v>1626810</v>
      </c>
      <c r="H34" s="407" t="s">
        <v>986</v>
      </c>
      <c r="I34" s="408">
        <v>1</v>
      </c>
      <c r="J34" s="408"/>
      <c r="K34" s="408"/>
      <c r="L34" s="408"/>
      <c r="M34" s="408"/>
      <c r="N34" s="408"/>
      <c r="O34" s="408"/>
      <c r="P34" s="408"/>
      <c r="Q34" s="665"/>
      <c r="S34" s="367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70"/>
    </row>
    <row r="35" spans="2:32" ht="22.5" customHeight="1">
      <c r="B35" s="663"/>
      <c r="C35" s="405" t="s">
        <v>991</v>
      </c>
      <c r="D35" s="405"/>
      <c r="E35" s="701" t="s">
        <v>992</v>
      </c>
      <c r="F35" s="492">
        <v>0.3</v>
      </c>
      <c r="G35" s="699">
        <v>2250000</v>
      </c>
      <c r="H35" s="407" t="s">
        <v>986</v>
      </c>
      <c r="I35" s="408">
        <v>1</v>
      </c>
      <c r="J35" s="408"/>
      <c r="K35" s="408"/>
      <c r="L35" s="408"/>
      <c r="M35" s="408"/>
      <c r="N35" s="408"/>
      <c r="O35" s="408"/>
      <c r="P35" s="408"/>
      <c r="Q35" s="665"/>
      <c r="S35" s="367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70"/>
    </row>
    <row r="36" spans="2:32" ht="22.5" customHeight="1">
      <c r="B36" s="663"/>
      <c r="C36" s="405" t="s">
        <v>993</v>
      </c>
      <c r="D36" s="405"/>
      <c r="E36" s="701" t="s">
        <v>994</v>
      </c>
      <c r="F36" s="492">
        <v>0.212</v>
      </c>
      <c r="G36" s="699">
        <v>9741</v>
      </c>
      <c r="H36" s="407" t="s">
        <v>995</v>
      </c>
      <c r="I36" s="408">
        <v>100</v>
      </c>
      <c r="J36" s="408"/>
      <c r="K36" s="408"/>
      <c r="L36" s="1250" t="s">
        <v>1082</v>
      </c>
      <c r="M36" s="408">
        <f>9999-G36</f>
        <v>258</v>
      </c>
      <c r="N36" s="408"/>
      <c r="O36" s="408"/>
      <c r="P36" s="408"/>
      <c r="Q36" s="665"/>
      <c r="S36" s="381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3"/>
    </row>
    <row r="37" spans="2:32" ht="22.5" customHeight="1">
      <c r="B37" s="663"/>
      <c r="C37" s="405" t="s">
        <v>996</v>
      </c>
      <c r="D37" s="405"/>
      <c r="E37" s="701" t="s">
        <v>997</v>
      </c>
      <c r="F37" s="492">
        <v>0.03</v>
      </c>
      <c r="G37" s="699">
        <v>266</v>
      </c>
      <c r="H37" s="407" t="s">
        <v>986</v>
      </c>
      <c r="I37" s="408">
        <v>60.1</v>
      </c>
      <c r="J37" s="408"/>
      <c r="K37" s="408"/>
      <c r="L37" s="408"/>
      <c r="M37" s="408"/>
      <c r="N37" s="408"/>
      <c r="O37" s="408"/>
      <c r="P37" s="408"/>
      <c r="Q37" s="665"/>
      <c r="S37" s="381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3"/>
    </row>
    <row r="38" spans="2:32" ht="22.5" customHeight="1">
      <c r="B38" s="663"/>
      <c r="C38" s="405" t="s">
        <v>998</v>
      </c>
      <c r="D38" s="405"/>
      <c r="E38" s="701" t="s">
        <v>999</v>
      </c>
      <c r="F38" s="492">
        <v>0.3</v>
      </c>
      <c r="G38" s="699">
        <v>180</v>
      </c>
      <c r="H38" s="407" t="s">
        <v>986</v>
      </c>
      <c r="I38" s="408">
        <v>1000</v>
      </c>
      <c r="J38" s="408">
        <v>180000</v>
      </c>
      <c r="K38" s="408"/>
      <c r="L38" s="408"/>
      <c r="M38" s="408"/>
      <c r="N38" s="408"/>
      <c r="O38" s="408"/>
      <c r="P38" s="408"/>
      <c r="Q38" s="665"/>
      <c r="S38" s="381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3"/>
    </row>
    <row r="39" spans="2:32" ht="22.5" customHeight="1">
      <c r="B39" s="663"/>
      <c r="C39" s="405" t="s">
        <v>1000</v>
      </c>
      <c r="D39" s="405"/>
      <c r="E39" s="701" t="s">
        <v>1001</v>
      </c>
      <c r="F39" s="492">
        <v>1</v>
      </c>
      <c r="G39" s="699">
        <v>602</v>
      </c>
      <c r="H39" s="407" t="s">
        <v>986</v>
      </c>
      <c r="I39" s="408"/>
      <c r="J39" s="408"/>
      <c r="K39" s="408"/>
      <c r="L39" s="408"/>
      <c r="M39" s="408"/>
      <c r="N39" s="408"/>
      <c r="O39" s="408"/>
      <c r="P39" s="408"/>
      <c r="Q39" s="665"/>
      <c r="S39" s="381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3"/>
    </row>
    <row r="40" spans="2:32" ht="22.5" customHeight="1">
      <c r="B40" s="663"/>
      <c r="C40" s="405" t="s">
        <v>1002</v>
      </c>
      <c r="D40" s="405"/>
      <c r="E40" s="701" t="s">
        <v>1003</v>
      </c>
      <c r="F40" s="492">
        <v>0.12</v>
      </c>
      <c r="G40" s="699">
        <v>120</v>
      </c>
      <c r="H40" s="407" t="s">
        <v>986</v>
      </c>
      <c r="I40" s="408">
        <v>60.2</v>
      </c>
      <c r="J40" s="408">
        <v>5418</v>
      </c>
      <c r="K40" s="408"/>
      <c r="L40" s="408"/>
      <c r="M40" s="408"/>
      <c r="N40" s="408"/>
      <c r="O40" s="408"/>
      <c r="P40" s="408"/>
      <c r="Q40" s="665"/>
      <c r="S40" s="381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3"/>
    </row>
    <row r="41" spans="2:32" ht="22.5" customHeight="1">
      <c r="B41" s="663"/>
      <c r="C41" s="405" t="s">
        <v>1004</v>
      </c>
      <c r="D41" s="405"/>
      <c r="E41" s="701" t="s">
        <v>1005</v>
      </c>
      <c r="F41" s="492">
        <v>1</v>
      </c>
      <c r="G41" s="699">
        <v>10676</v>
      </c>
      <c r="H41" s="407" t="s">
        <v>986</v>
      </c>
      <c r="I41" s="408"/>
      <c r="J41" s="408"/>
      <c r="K41" s="408"/>
      <c r="L41" s="408"/>
      <c r="M41" s="408"/>
      <c r="N41" s="408"/>
      <c r="O41" s="408"/>
      <c r="P41" s="408"/>
      <c r="Q41" s="665"/>
      <c r="S41" s="381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3"/>
    </row>
    <row r="42" spans="2:32" ht="22.5" customHeight="1">
      <c r="B42" s="663"/>
      <c r="C42" s="405"/>
      <c r="D42" s="405"/>
      <c r="E42" s="701"/>
      <c r="F42" s="492"/>
      <c r="G42" s="699"/>
      <c r="H42" s="407"/>
      <c r="I42" s="408"/>
      <c r="J42" s="408"/>
      <c r="K42" s="408"/>
      <c r="L42" s="408"/>
      <c r="M42" s="408"/>
      <c r="N42" s="408"/>
      <c r="O42" s="408"/>
      <c r="P42" s="408"/>
      <c r="Q42" s="665"/>
      <c r="S42" s="381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3"/>
    </row>
    <row r="43" spans="2:32" ht="22.5" customHeight="1">
      <c r="B43" s="663"/>
      <c r="C43" s="405"/>
      <c r="D43" s="405"/>
      <c r="E43" s="701"/>
      <c r="F43" s="492"/>
      <c r="G43" s="699"/>
      <c r="H43" s="407"/>
      <c r="I43" s="408"/>
      <c r="J43" s="408"/>
      <c r="K43" s="408"/>
      <c r="L43" s="408"/>
      <c r="M43" s="408"/>
      <c r="N43" s="408"/>
      <c r="O43" s="408"/>
      <c r="P43" s="408"/>
      <c r="Q43" s="665"/>
      <c r="S43" s="381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3"/>
    </row>
    <row r="44" spans="2:32" ht="22.5" customHeight="1">
      <c r="B44" s="663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65"/>
      <c r="S44" s="381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3"/>
    </row>
    <row r="45" spans="2:32" ht="22.5" customHeight="1">
      <c r="B45" s="663"/>
      <c r="C45" s="677" t="s">
        <v>245</v>
      </c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64"/>
      <c r="Q45" s="665"/>
      <c r="S45" s="381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3"/>
    </row>
    <row r="46" spans="2:32" ht="22.5" customHeight="1">
      <c r="B46" s="663"/>
      <c r="C46" s="664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4"/>
      <c r="O46" s="664"/>
      <c r="P46" s="664"/>
      <c r="Q46" s="665"/>
      <c r="S46" s="381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3"/>
    </row>
    <row r="47" spans="2:32" ht="22.5" customHeight="1">
      <c r="B47" s="663"/>
      <c r="C47" s="1294" t="s">
        <v>246</v>
      </c>
      <c r="D47" s="1294"/>
      <c r="E47" s="683"/>
      <c r="F47" s="684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65"/>
      <c r="S47" s="381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3"/>
    </row>
    <row r="48" spans="2:32" ht="22.5" customHeight="1">
      <c r="B48" s="663"/>
      <c r="C48" s="1295" t="s">
        <v>1006</v>
      </c>
      <c r="D48" s="1296"/>
      <c r="E48" s="1296"/>
      <c r="F48" s="1296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65"/>
      <c r="S48" s="381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3"/>
    </row>
    <row r="49" spans="2:32" ht="22.5" customHeight="1">
      <c r="B49" s="663"/>
      <c r="C49" s="566"/>
      <c r="D49" s="566"/>
      <c r="E49" s="566"/>
      <c r="F49" s="566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65"/>
      <c r="S49" s="381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3"/>
    </row>
    <row r="50" spans="2:32" ht="22.5" customHeight="1">
      <c r="B50" s="663"/>
      <c r="C50" s="566"/>
      <c r="D50" s="566"/>
      <c r="E50" s="566"/>
      <c r="F50" s="566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65"/>
      <c r="S50" s="381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3"/>
    </row>
    <row r="51" spans="2:32" ht="22.5" customHeight="1">
      <c r="B51" s="663"/>
      <c r="C51" s="636" t="s">
        <v>621</v>
      </c>
      <c r="D51" s="566"/>
      <c r="E51" s="566"/>
      <c r="F51" s="566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65"/>
      <c r="S51" s="381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3"/>
    </row>
    <row r="52" spans="2:32" ht="22.5" customHeight="1">
      <c r="B52" s="663"/>
      <c r="C52" s="637"/>
      <c r="D52" s="566"/>
      <c r="E52" s="566"/>
      <c r="F52" s="566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65"/>
      <c r="S52" s="381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3"/>
    </row>
    <row r="53" spans="2:32" ht="22.5" customHeight="1">
      <c r="B53" s="663"/>
      <c r="C53" s="692" t="s">
        <v>85</v>
      </c>
      <c r="D53" s="566"/>
      <c r="E53" s="566"/>
      <c r="F53" s="566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65"/>
      <c r="S53" s="381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3"/>
    </row>
    <row r="54" spans="2:32" ht="22.5" customHeight="1">
      <c r="B54" s="663"/>
      <c r="C54" s="692" t="s">
        <v>86</v>
      </c>
      <c r="D54" s="566"/>
      <c r="E54" s="566"/>
      <c r="F54" s="566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65"/>
      <c r="S54" s="381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3"/>
    </row>
    <row r="55" spans="2:32" ht="22.5" customHeight="1" thickBot="1">
      <c r="B55" s="693"/>
      <c r="C55" s="1292"/>
      <c r="D55" s="1292"/>
      <c r="E55" s="1292"/>
      <c r="F55" s="1292"/>
      <c r="G55" s="694"/>
      <c r="H55" s="694"/>
      <c r="I55" s="694"/>
      <c r="J55" s="694"/>
      <c r="K55" s="694"/>
      <c r="L55" s="694"/>
      <c r="M55" s="694"/>
      <c r="N55" s="694"/>
      <c r="O55" s="694"/>
      <c r="P55" s="694"/>
      <c r="Q55" s="695"/>
      <c r="S55" s="384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6"/>
    </row>
    <row r="56" spans="3:18" ht="22.5" customHeight="1"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R56" s="658" t="s">
        <v>83</v>
      </c>
    </row>
    <row r="57" spans="3:16" ht="12.75">
      <c r="C57" s="696" t="s">
        <v>286</v>
      </c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  <c r="P57" s="643" t="s">
        <v>293</v>
      </c>
    </row>
    <row r="58" spans="3:16" ht="12.75">
      <c r="C58" s="697" t="s">
        <v>287</v>
      </c>
      <c r="D58" s="659"/>
      <c r="E58" s="659"/>
      <c r="F58" s="659"/>
      <c r="G58" s="659"/>
      <c r="H58" s="659"/>
      <c r="I58" s="659"/>
      <c r="J58" s="659"/>
      <c r="K58" s="659"/>
      <c r="L58" s="659"/>
      <c r="M58" s="659"/>
      <c r="N58" s="659"/>
      <c r="O58" s="659"/>
      <c r="P58" s="659"/>
    </row>
    <row r="59" spans="3:16" ht="12.75">
      <c r="C59" s="697" t="s">
        <v>288</v>
      </c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</row>
    <row r="60" spans="3:16" ht="12.75">
      <c r="C60" s="697" t="s">
        <v>289</v>
      </c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59"/>
    </row>
    <row r="61" spans="3:16" ht="12.75">
      <c r="C61" s="697" t="s">
        <v>290</v>
      </c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</row>
    <row r="62" spans="3:16" ht="22.5" customHeight="1">
      <c r="C62" s="659"/>
      <c r="D62" s="659"/>
      <c r="E62" s="659"/>
      <c r="F62" s="659"/>
      <c r="G62" s="659"/>
      <c r="H62" s="659"/>
      <c r="I62" s="659"/>
      <c r="J62" s="659"/>
      <c r="K62" s="659"/>
      <c r="L62" s="659"/>
      <c r="M62" s="659"/>
      <c r="N62" s="659"/>
      <c r="O62" s="659"/>
      <c r="P62" s="659"/>
    </row>
    <row r="63" spans="3:16" ht="22.5" customHeight="1">
      <c r="C63" s="659"/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</row>
    <row r="64" spans="3:16" ht="22.5" customHeight="1">
      <c r="C64" s="659"/>
      <c r="D64" s="659"/>
      <c r="E64" s="659"/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</row>
    <row r="65" spans="3:16" ht="22.5" customHeight="1">
      <c r="C65" s="659"/>
      <c r="D65" s="659"/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</row>
    <row r="66" spans="6:16" ht="22.5" customHeight="1">
      <c r="F66" s="659"/>
      <c r="G66" s="659"/>
      <c r="H66" s="659"/>
      <c r="I66" s="659"/>
      <c r="J66" s="659"/>
      <c r="K66" s="659"/>
      <c r="L66" s="659"/>
      <c r="M66" s="659"/>
      <c r="N66" s="659"/>
      <c r="O66" s="659"/>
      <c r="P66" s="659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="117" zoomScaleNormal="117" zoomScaleSheetLayoutView="50" zoomScalePageLayoutView="50" workbookViewId="0" topLeftCell="A1">
      <selection activeCell="K16" sqref="K16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41" t="s">
        <v>82</v>
      </c>
    </row>
    <row r="5" spans="2:23" ht="9" customHeight="1">
      <c r="B5" s="44"/>
      <c r="C5" s="45"/>
      <c r="D5" s="45"/>
      <c r="E5" s="45"/>
      <c r="F5" s="45"/>
      <c r="G5" s="45"/>
      <c r="H5" s="46"/>
      <c r="J5" s="364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</row>
    <row r="6" spans="2:23" ht="30" customHeight="1">
      <c r="B6" s="47"/>
      <c r="C6" s="1" t="s">
        <v>216</v>
      </c>
      <c r="D6" s="43"/>
      <c r="E6" s="43"/>
      <c r="F6" s="43"/>
      <c r="G6" s="1285">
        <f>ejercicio</f>
        <v>2020</v>
      </c>
      <c r="H6" s="49"/>
      <c r="J6" s="367"/>
      <c r="K6" s="368" t="s">
        <v>906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</row>
    <row r="7" spans="2:23" ht="30" customHeight="1">
      <c r="B7" s="47"/>
      <c r="C7" s="1" t="s">
        <v>217</v>
      </c>
      <c r="D7" s="43"/>
      <c r="E7" s="43"/>
      <c r="F7" s="43"/>
      <c r="G7" s="1285"/>
      <c r="H7" s="49"/>
      <c r="J7" s="367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70"/>
    </row>
    <row r="8" spans="2:23" ht="30" customHeight="1">
      <c r="B8" s="47"/>
      <c r="C8" s="48"/>
      <c r="D8" s="43"/>
      <c r="E8" s="43"/>
      <c r="F8" s="43"/>
      <c r="G8" s="50"/>
      <c r="H8" s="49"/>
      <c r="J8" s="367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70"/>
    </row>
    <row r="9" spans="2:23" s="57" customFormat="1" ht="30" customHeight="1">
      <c r="B9" s="55"/>
      <c r="C9" s="38" t="s">
        <v>218</v>
      </c>
      <c r="D9" s="1300" t="str">
        <f>Entidad</f>
        <v>INSTITUTO TECNOLOGICO Y DE ENERGIAS RENOVABLES S.A.</v>
      </c>
      <c r="E9" s="1300"/>
      <c r="F9" s="1300"/>
      <c r="G9" s="1300"/>
      <c r="H9" s="56"/>
      <c r="J9" s="371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</row>
    <row r="10" spans="2:23" ht="6.75" customHeight="1">
      <c r="B10" s="47"/>
      <c r="C10" s="43"/>
      <c r="D10" s="43"/>
      <c r="E10" s="43"/>
      <c r="F10" s="43"/>
      <c r="G10" s="43"/>
      <c r="H10" s="49"/>
      <c r="J10" s="367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70"/>
    </row>
    <row r="11" spans="2:23" s="59" customFormat="1" ht="30" customHeight="1">
      <c r="B11" s="23"/>
      <c r="C11" s="11" t="s">
        <v>294</v>
      </c>
      <c r="D11" s="11"/>
      <c r="E11" s="11"/>
      <c r="F11" s="11"/>
      <c r="G11" s="11"/>
      <c r="H11" s="58"/>
      <c r="J11" s="374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6"/>
    </row>
    <row r="12" spans="2:23" s="59" customFormat="1" ht="30" customHeight="1">
      <c r="B12" s="23"/>
      <c r="C12" s="63"/>
      <c r="D12" s="63"/>
      <c r="E12" s="63"/>
      <c r="F12" s="63"/>
      <c r="G12" s="63"/>
      <c r="H12" s="58"/>
      <c r="J12" s="374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6"/>
    </row>
    <row r="13" spans="2:23" ht="22.5" customHeight="1">
      <c r="B13" s="47"/>
      <c r="C13" s="200"/>
      <c r="D13" s="201"/>
      <c r="E13" s="202" t="s">
        <v>392</v>
      </c>
      <c r="F13" s="202" t="s">
        <v>393</v>
      </c>
      <c r="G13" s="304" t="s">
        <v>394</v>
      </c>
      <c r="H13" s="49"/>
      <c r="J13" s="367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70"/>
    </row>
    <row r="14" spans="2:23" ht="22.5" customHeight="1">
      <c r="B14" s="47"/>
      <c r="C14" s="203"/>
      <c r="D14" s="65"/>
      <c r="E14" s="204">
        <f>ejercicio-2</f>
        <v>2018</v>
      </c>
      <c r="F14" s="204">
        <f>ejercicio-1</f>
        <v>2019</v>
      </c>
      <c r="G14" s="303">
        <f>ejercicio</f>
        <v>2020</v>
      </c>
      <c r="H14" s="49"/>
      <c r="J14" s="367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70"/>
    </row>
    <row r="15" spans="2:23" ht="22.5" customHeight="1">
      <c r="B15" s="47"/>
      <c r="C15" s="134" t="s">
        <v>295</v>
      </c>
      <c r="D15" s="83" t="s">
        <v>296</v>
      </c>
      <c r="E15" s="127"/>
      <c r="F15" s="127"/>
      <c r="G15" s="127"/>
      <c r="H15" s="49"/>
      <c r="J15" s="367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70"/>
    </row>
    <row r="16" spans="2:23" ht="22.5" customHeight="1">
      <c r="B16" s="47"/>
      <c r="C16" s="136" t="s">
        <v>297</v>
      </c>
      <c r="D16" s="67" t="s">
        <v>937</v>
      </c>
      <c r="E16" s="129">
        <f>SUM(E17:E19)</f>
        <v>8484441.7</v>
      </c>
      <c r="F16" s="129">
        <f>SUM(F17:F19)</f>
        <v>17675604.59</v>
      </c>
      <c r="G16" s="129">
        <f>SUM(G17:G19)</f>
        <v>20902113.97</v>
      </c>
      <c r="H16" s="49"/>
      <c r="J16" s="367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70"/>
    </row>
    <row r="17" spans="2:23" ht="22.5" customHeight="1">
      <c r="B17" s="47"/>
      <c r="C17" s="137" t="s">
        <v>298</v>
      </c>
      <c r="D17" s="68" t="s">
        <v>299</v>
      </c>
      <c r="E17" s="409">
        <v>768104.58</v>
      </c>
      <c r="F17" s="409">
        <v>10541653.95</v>
      </c>
      <c r="G17" s="409">
        <v>13430479.47</v>
      </c>
      <c r="H17" s="49"/>
      <c r="J17" s="367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70"/>
    </row>
    <row r="18" spans="2:23" ht="22.5" customHeight="1">
      <c r="B18" s="47"/>
      <c r="C18" s="138" t="s">
        <v>300</v>
      </c>
      <c r="D18" s="69" t="s">
        <v>301</v>
      </c>
      <c r="E18" s="410">
        <v>7716337.12</v>
      </c>
      <c r="F18" s="410">
        <v>7133950.64</v>
      </c>
      <c r="G18" s="410">
        <f>6916634.5+475000+80000</f>
        <v>7471634.5</v>
      </c>
      <c r="H18" s="49"/>
      <c r="J18" s="367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70"/>
    </row>
    <row r="19" spans="2:23" ht="22.5" customHeight="1">
      <c r="B19" s="47"/>
      <c r="C19" s="138" t="s">
        <v>302</v>
      </c>
      <c r="D19" s="69" t="s">
        <v>303</v>
      </c>
      <c r="E19" s="410"/>
      <c r="F19" s="410"/>
      <c r="G19" s="410"/>
      <c r="H19" s="49"/>
      <c r="J19" s="367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70"/>
    </row>
    <row r="20" spans="2:23" ht="22.5" customHeight="1">
      <c r="B20" s="47"/>
      <c r="C20" s="136" t="s">
        <v>304</v>
      </c>
      <c r="D20" s="67" t="s">
        <v>305</v>
      </c>
      <c r="E20" s="411">
        <v>-54705</v>
      </c>
      <c r="F20" s="411"/>
      <c r="G20" s="411">
        <v>-900</v>
      </c>
      <c r="H20" s="49"/>
      <c r="J20" s="367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70"/>
    </row>
    <row r="21" spans="2:23" ht="22.5" customHeight="1">
      <c r="B21" s="47"/>
      <c r="C21" s="136" t="s">
        <v>306</v>
      </c>
      <c r="D21" s="67" t="s">
        <v>307</v>
      </c>
      <c r="E21" s="411">
        <v>690410.34</v>
      </c>
      <c r="F21" s="411">
        <v>265415.45</v>
      </c>
      <c r="G21" s="411">
        <v>518837.584</v>
      </c>
      <c r="H21" s="49"/>
      <c r="J21" s="367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</row>
    <row r="22" spans="2:23" ht="22.5" customHeight="1">
      <c r="B22" s="47"/>
      <c r="C22" s="136" t="s">
        <v>308</v>
      </c>
      <c r="D22" s="67" t="s">
        <v>309</v>
      </c>
      <c r="E22" s="129">
        <f>SUM(E23:E26)</f>
        <v>-699917.07</v>
      </c>
      <c r="F22" s="129">
        <f>SUM(F23:F26)</f>
        <v>-522312.06999999995</v>
      </c>
      <c r="G22" s="129">
        <f>SUM(G23:G26)</f>
        <v>-279858.67000000004</v>
      </c>
      <c r="H22" s="49"/>
      <c r="J22" s="367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70"/>
    </row>
    <row r="23" spans="2:23" ht="22.5" customHeight="1">
      <c r="B23" s="47"/>
      <c r="C23" s="137" t="s">
        <v>298</v>
      </c>
      <c r="D23" s="68" t="s">
        <v>310</v>
      </c>
      <c r="E23" s="409">
        <v>-262.03</v>
      </c>
      <c r="F23" s="409"/>
      <c r="G23" s="409"/>
      <c r="H23" s="49"/>
      <c r="J23" s="367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70"/>
    </row>
    <row r="24" spans="2:23" ht="22.5" customHeight="1">
      <c r="B24" s="47"/>
      <c r="C24" s="138" t="s">
        <v>300</v>
      </c>
      <c r="D24" s="69" t="s">
        <v>311</v>
      </c>
      <c r="E24" s="410">
        <v>-233023.05</v>
      </c>
      <c r="F24" s="410">
        <v>-88470.72</v>
      </c>
      <c r="G24" s="410">
        <v>-110000</v>
      </c>
      <c r="H24" s="49"/>
      <c r="J24" s="367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70"/>
    </row>
    <row r="25" spans="2:23" ht="22.5" customHeight="1">
      <c r="B25" s="47"/>
      <c r="C25" s="138" t="s">
        <v>302</v>
      </c>
      <c r="D25" s="69" t="s">
        <v>312</v>
      </c>
      <c r="E25" s="410">
        <v>-466631.99</v>
      </c>
      <c r="F25" s="410">
        <v>-433841.35</v>
      </c>
      <c r="G25" s="410">
        <v>-169858.67</v>
      </c>
      <c r="H25" s="49"/>
      <c r="J25" s="367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70"/>
    </row>
    <row r="26" spans="2:23" ht="22.5" customHeight="1">
      <c r="B26" s="47"/>
      <c r="C26" s="138" t="s">
        <v>313</v>
      </c>
      <c r="D26" s="69" t="s">
        <v>314</v>
      </c>
      <c r="E26" s="410"/>
      <c r="F26" s="410"/>
      <c r="G26" s="410"/>
      <c r="H26" s="49"/>
      <c r="J26" s="367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70"/>
    </row>
    <row r="27" spans="2:23" ht="22.5" customHeight="1">
      <c r="B27" s="47"/>
      <c r="C27" s="136" t="s">
        <v>315</v>
      </c>
      <c r="D27" s="67" t="s">
        <v>940</v>
      </c>
      <c r="E27" s="129">
        <f>SUM(E28:E29)</f>
        <v>3062541.86</v>
      </c>
      <c r="F27" s="129">
        <f>SUM(F28:F29)</f>
        <v>3338304.02</v>
      </c>
      <c r="G27" s="129">
        <f>SUM(G28:G29)</f>
        <v>1481479.82</v>
      </c>
      <c r="H27" s="49"/>
      <c r="J27" s="367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</row>
    <row r="28" spans="2:23" ht="22.5" customHeight="1">
      <c r="B28" s="47"/>
      <c r="C28" s="137" t="s">
        <v>298</v>
      </c>
      <c r="D28" s="68" t="s">
        <v>316</v>
      </c>
      <c r="E28" s="409">
        <v>5940.6</v>
      </c>
      <c r="F28" s="409">
        <v>1033.47</v>
      </c>
      <c r="G28" s="409"/>
      <c r="H28" s="49"/>
      <c r="J28" s="367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70"/>
    </row>
    <row r="29" spans="2:23" ht="22.5" customHeight="1">
      <c r="B29" s="47"/>
      <c r="C29" s="138" t="s">
        <v>300</v>
      </c>
      <c r="D29" s="69" t="s">
        <v>317</v>
      </c>
      <c r="E29" s="410">
        <v>3056601.26</v>
      </c>
      <c r="F29" s="410">
        <f>2740270.55-50000+80000+53000+314000+200000</f>
        <v>3337270.55</v>
      </c>
      <c r="G29" s="410">
        <f>1956479.82+80000-475000-80000</f>
        <v>1481479.82</v>
      </c>
      <c r="H29" s="49"/>
      <c r="J29" s="367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</row>
    <row r="30" spans="2:23" ht="22.5" customHeight="1">
      <c r="B30" s="47"/>
      <c r="C30" s="136" t="s">
        <v>318</v>
      </c>
      <c r="D30" s="67" t="s">
        <v>319</v>
      </c>
      <c r="E30" s="129">
        <f>SUM(E31:E33)</f>
        <v>-5504210.25</v>
      </c>
      <c r="F30" s="129">
        <f>SUM(F31:F33)</f>
        <v>-6139397.26</v>
      </c>
      <c r="G30" s="129">
        <f>SUM(G31:G33)</f>
        <v>-6581379.720000001</v>
      </c>
      <c r="H30" s="49"/>
      <c r="J30" s="378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80"/>
    </row>
    <row r="31" spans="2:23" ht="22.5" customHeight="1">
      <c r="B31" s="47"/>
      <c r="C31" s="137" t="s">
        <v>298</v>
      </c>
      <c r="D31" s="68" t="s">
        <v>320</v>
      </c>
      <c r="E31" s="409">
        <v>-4162935.75</v>
      </c>
      <c r="F31" s="409">
        <v>-4550796.72</v>
      </c>
      <c r="G31" s="409">
        <v>-4816211.53</v>
      </c>
      <c r="H31" s="49"/>
      <c r="J31" s="378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</row>
    <row r="32" spans="2:23" ht="22.5" customHeight="1">
      <c r="B32" s="47"/>
      <c r="C32" s="138" t="s">
        <v>300</v>
      </c>
      <c r="D32" s="69" t="s">
        <v>321</v>
      </c>
      <c r="E32" s="410">
        <v>-1341274.5</v>
      </c>
      <c r="F32" s="410">
        <v>-1588600.54</v>
      </c>
      <c r="G32" s="410">
        <v>-1765168.19</v>
      </c>
      <c r="H32" s="49"/>
      <c r="J32" s="367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70"/>
    </row>
    <row r="33" spans="2:23" ht="22.5" customHeight="1">
      <c r="B33" s="47"/>
      <c r="C33" s="138" t="s">
        <v>302</v>
      </c>
      <c r="D33" s="69" t="s">
        <v>322</v>
      </c>
      <c r="E33" s="410"/>
      <c r="F33" s="410"/>
      <c r="G33" s="410"/>
      <c r="H33" s="49"/>
      <c r="J33" s="367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70"/>
    </row>
    <row r="34" spans="2:23" ht="22.5" customHeight="1">
      <c r="B34" s="47"/>
      <c r="C34" s="136" t="s">
        <v>323</v>
      </c>
      <c r="D34" s="67" t="s">
        <v>324</v>
      </c>
      <c r="E34" s="129">
        <f>SUM(E35:E39)</f>
        <v>-2765245.46</v>
      </c>
      <c r="F34" s="129">
        <f>SUM(F35:F39)</f>
        <v>-6461690.95</v>
      </c>
      <c r="G34" s="129">
        <f>SUM(G35:G39)</f>
        <v>-7644493.74</v>
      </c>
      <c r="H34" s="49"/>
      <c r="J34" s="367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70"/>
    </row>
    <row r="35" spans="2:23" ht="22.5" customHeight="1">
      <c r="B35" s="47"/>
      <c r="C35" s="137" t="s">
        <v>298</v>
      </c>
      <c r="D35" s="68" t="s">
        <v>325</v>
      </c>
      <c r="E35" s="409">
        <v>-2649535.14</v>
      </c>
      <c r="F35" s="409">
        <f>-5041908.3+50000-80000-53000-314000-200000</f>
        <v>-5638908.3</v>
      </c>
      <c r="G35" s="409">
        <f>-6529683.08-80000</f>
        <v>-6609683.08</v>
      </c>
      <c r="H35" s="49"/>
      <c r="J35" s="367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70"/>
    </row>
    <row r="36" spans="2:23" ht="22.5" customHeight="1">
      <c r="B36" s="47"/>
      <c r="C36" s="138" t="s">
        <v>300</v>
      </c>
      <c r="D36" s="69" t="s">
        <v>326</v>
      </c>
      <c r="E36" s="410">
        <v>-115710.32</v>
      </c>
      <c r="F36" s="410">
        <v>-822782.65</v>
      </c>
      <c r="G36" s="410">
        <v>-1034810.66</v>
      </c>
      <c r="H36" s="49"/>
      <c r="J36" s="381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</row>
    <row r="37" spans="2:23" ht="22.5" customHeight="1">
      <c r="B37" s="47"/>
      <c r="C37" s="138" t="s">
        <v>302</v>
      </c>
      <c r="D37" s="69" t="s">
        <v>327</v>
      </c>
      <c r="E37" s="410"/>
      <c r="F37" s="410"/>
      <c r="G37" s="410"/>
      <c r="H37" s="49"/>
      <c r="J37" s="381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</row>
    <row r="38" spans="2:23" ht="22.5" customHeight="1">
      <c r="B38" s="47"/>
      <c r="C38" s="138" t="s">
        <v>313</v>
      </c>
      <c r="D38" s="69" t="s">
        <v>328</v>
      </c>
      <c r="E38" s="410"/>
      <c r="F38" s="410"/>
      <c r="G38" s="410"/>
      <c r="H38" s="49"/>
      <c r="J38" s="381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</row>
    <row r="39" spans="2:23" ht="22.5" customHeight="1">
      <c r="B39" s="47"/>
      <c r="C39" s="138" t="s">
        <v>329</v>
      </c>
      <c r="D39" s="69" t="s">
        <v>330</v>
      </c>
      <c r="E39" s="410"/>
      <c r="F39" s="410"/>
      <c r="G39" s="410"/>
      <c r="H39" s="49"/>
      <c r="J39" s="381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3"/>
    </row>
    <row r="40" spans="2:23" ht="22.5" customHeight="1">
      <c r="B40" s="47"/>
      <c r="C40" s="136" t="s">
        <v>331</v>
      </c>
      <c r="D40" s="67" t="s">
        <v>332</v>
      </c>
      <c r="E40" s="411">
        <v>-4014028.44</v>
      </c>
      <c r="F40" s="411">
        <v>-6563173.48</v>
      </c>
      <c r="G40" s="411">
        <v>-6756675.75</v>
      </c>
      <c r="H40" s="49"/>
      <c r="J40" s="381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3"/>
    </row>
    <row r="41" spans="2:23" ht="22.5" customHeight="1">
      <c r="B41" s="47"/>
      <c r="C41" s="136" t="s">
        <v>333</v>
      </c>
      <c r="D41" s="67" t="s">
        <v>334</v>
      </c>
      <c r="E41" s="411">
        <v>488937.59</v>
      </c>
      <c r="F41" s="411">
        <v>570454.16</v>
      </c>
      <c r="G41" s="411">
        <v>728157.43</v>
      </c>
      <c r="H41" s="49"/>
      <c r="J41" s="381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3"/>
    </row>
    <row r="42" spans="2:23" ht="22.5" customHeight="1">
      <c r="B42" s="47"/>
      <c r="C42" s="136" t="s">
        <v>335</v>
      </c>
      <c r="D42" s="67" t="s">
        <v>336</v>
      </c>
      <c r="E42" s="411"/>
      <c r="F42" s="411"/>
      <c r="G42" s="411"/>
      <c r="H42" s="49"/>
      <c r="J42" s="381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3"/>
    </row>
    <row r="43" spans="2:23" ht="22.5" customHeight="1">
      <c r="B43" s="47"/>
      <c r="C43" s="136" t="s">
        <v>337</v>
      </c>
      <c r="D43" s="67" t="s">
        <v>338</v>
      </c>
      <c r="E43" s="129">
        <f>SUM(E44:E46)</f>
        <v>0</v>
      </c>
      <c r="F43" s="129">
        <f>SUM(F44:F46)</f>
        <v>0</v>
      </c>
      <c r="G43" s="129">
        <f>SUM(G44:G46)</f>
        <v>0</v>
      </c>
      <c r="H43" s="49"/>
      <c r="J43" s="381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3"/>
    </row>
    <row r="44" spans="2:23" ht="22.5" customHeight="1">
      <c r="B44" s="47"/>
      <c r="C44" s="137" t="s">
        <v>298</v>
      </c>
      <c r="D44" s="68" t="s">
        <v>339</v>
      </c>
      <c r="E44" s="409"/>
      <c r="F44" s="409"/>
      <c r="G44" s="409"/>
      <c r="H44" s="49"/>
      <c r="J44" s="381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3"/>
    </row>
    <row r="45" spans="2:23" ht="22.5" customHeight="1">
      <c r="B45" s="47"/>
      <c r="C45" s="138" t="s">
        <v>300</v>
      </c>
      <c r="D45" s="69" t="s">
        <v>340</v>
      </c>
      <c r="E45" s="410"/>
      <c r="F45" s="410"/>
      <c r="G45" s="410"/>
      <c r="H45" s="49"/>
      <c r="J45" s="381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3"/>
    </row>
    <row r="46" spans="2:23" ht="22.5" customHeight="1">
      <c r="B46" s="47"/>
      <c r="C46" s="138" t="s">
        <v>302</v>
      </c>
      <c r="D46" s="69" t="s">
        <v>341</v>
      </c>
      <c r="E46" s="410"/>
      <c r="F46" s="410"/>
      <c r="G46" s="410"/>
      <c r="H46" s="49"/>
      <c r="J46" s="381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3"/>
    </row>
    <row r="47" spans="2:23" ht="22.5" customHeight="1">
      <c r="B47" s="47"/>
      <c r="C47" s="136" t="s">
        <v>342</v>
      </c>
      <c r="D47" s="67" t="s">
        <v>343</v>
      </c>
      <c r="E47" s="411"/>
      <c r="F47" s="411"/>
      <c r="G47" s="411"/>
      <c r="H47" s="49"/>
      <c r="J47" s="381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3"/>
    </row>
    <row r="48" spans="2:23" ht="22.5" customHeight="1">
      <c r="B48" s="47"/>
      <c r="C48" s="136" t="s">
        <v>344</v>
      </c>
      <c r="D48" s="67" t="s">
        <v>941</v>
      </c>
      <c r="E48" s="411">
        <v>-601.14</v>
      </c>
      <c r="F48" s="411">
        <v>-5924.45</v>
      </c>
      <c r="G48" s="411"/>
      <c r="H48" s="49"/>
      <c r="J48" s="381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3"/>
    </row>
    <row r="49" spans="2:23" s="72" customFormat="1" ht="22.5" customHeight="1" thickBot="1">
      <c r="B49" s="23"/>
      <c r="C49" s="142" t="s">
        <v>345</v>
      </c>
      <c r="D49" s="80" t="s">
        <v>346</v>
      </c>
      <c r="E49" s="322">
        <f>E16+E20+E21+E22+E27+E30+E34+E40+E41+E42+E43+E47+E48</f>
        <v>-312375.8700000017</v>
      </c>
      <c r="F49" s="322">
        <f>F16+F20+F21+F22+F27+F30+F34+F40+F41+F42+F43+F47+F48</f>
        <v>2157280.009999998</v>
      </c>
      <c r="G49" s="322">
        <f>G16+G20+G21+G22+G27+G30+G34+G40+G41+G42+G43+G47+G48</f>
        <v>2367280.9239999955</v>
      </c>
      <c r="H49" s="58"/>
      <c r="I49" s="41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3"/>
    </row>
    <row r="50" spans="2:23" ht="22.5" customHeight="1">
      <c r="B50" s="47"/>
      <c r="C50" s="140"/>
      <c r="D50" s="1"/>
      <c r="E50" s="127"/>
      <c r="F50" s="127"/>
      <c r="G50" s="127"/>
      <c r="H50" s="49"/>
      <c r="J50" s="381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3"/>
    </row>
    <row r="51" spans="2:23" ht="22.5" customHeight="1">
      <c r="B51" s="47"/>
      <c r="C51" s="136" t="s">
        <v>347</v>
      </c>
      <c r="D51" s="67" t="s">
        <v>348</v>
      </c>
      <c r="E51" s="129">
        <f>E52+E55+E58</f>
        <v>1846185.62</v>
      </c>
      <c r="F51" s="129">
        <f>F52+F55+F58</f>
        <v>1831795.5100000002</v>
      </c>
      <c r="G51" s="129">
        <f>G52+G55+G58</f>
        <v>2318642.4299999997</v>
      </c>
      <c r="H51" s="49"/>
      <c r="J51" s="381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3"/>
    </row>
    <row r="52" spans="2:23" ht="22.5" customHeight="1">
      <c r="B52" s="47"/>
      <c r="C52" s="137" t="s">
        <v>298</v>
      </c>
      <c r="D52" s="68" t="s">
        <v>349</v>
      </c>
      <c r="E52" s="130">
        <f>SUM(E53:E54)</f>
        <v>1320369.99</v>
      </c>
      <c r="F52" s="130">
        <f>SUM(F53:F54)</f>
        <v>1410848.83</v>
      </c>
      <c r="G52" s="130">
        <f>SUM(G53:G54)</f>
        <v>1910039.69</v>
      </c>
      <c r="H52" s="49"/>
      <c r="J52" s="381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3"/>
    </row>
    <row r="53" spans="2:23" ht="22.5" customHeight="1">
      <c r="B53" s="47"/>
      <c r="C53" s="311" t="s">
        <v>350</v>
      </c>
      <c r="D53" s="75" t="s">
        <v>351</v>
      </c>
      <c r="E53" s="651">
        <v>187007.05</v>
      </c>
      <c r="F53" s="651">
        <v>176462.34</v>
      </c>
      <c r="G53" s="651">
        <v>94959.69</v>
      </c>
      <c r="H53" s="49"/>
      <c r="J53" s="381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3"/>
    </row>
    <row r="54" spans="2:23" ht="22.5" customHeight="1">
      <c r="B54" s="47"/>
      <c r="C54" s="311" t="s">
        <v>352</v>
      </c>
      <c r="D54" s="75" t="s">
        <v>353</v>
      </c>
      <c r="E54" s="651">
        <v>1133362.94</v>
      </c>
      <c r="F54" s="651">
        <v>1234386.49</v>
      </c>
      <c r="G54" s="651">
        <v>1815080</v>
      </c>
      <c r="H54" s="49"/>
      <c r="J54" s="381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3"/>
    </row>
    <row r="55" spans="2:23" ht="22.5" customHeight="1">
      <c r="B55" s="47"/>
      <c r="C55" s="312" t="s">
        <v>300</v>
      </c>
      <c r="D55" s="70" t="s">
        <v>354</v>
      </c>
      <c r="E55" s="323">
        <f>SUM(E56:E57)</f>
        <v>525815.63</v>
      </c>
      <c r="F55" s="323">
        <f>SUM(F56:F57)</f>
        <v>420946.68000000005</v>
      </c>
      <c r="G55" s="323">
        <f>SUM(G56:G57)</f>
        <v>408602.74</v>
      </c>
      <c r="H55" s="49"/>
      <c r="J55" s="381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3"/>
    </row>
    <row r="56" spans="2:23" ht="22.5" customHeight="1">
      <c r="B56" s="47"/>
      <c r="C56" s="311" t="s">
        <v>355</v>
      </c>
      <c r="D56" s="75" t="s">
        <v>356</v>
      </c>
      <c r="E56" s="651">
        <v>525815.63</v>
      </c>
      <c r="F56" s="651">
        <v>420946.65</v>
      </c>
      <c r="G56" s="651">
        <v>406602.74</v>
      </c>
      <c r="H56" s="49"/>
      <c r="J56" s="381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3"/>
    </row>
    <row r="57" spans="2:23" ht="22.5" customHeight="1">
      <c r="B57" s="47"/>
      <c r="C57" s="311" t="s">
        <v>357</v>
      </c>
      <c r="D57" s="75" t="s">
        <v>358</v>
      </c>
      <c r="E57" s="651"/>
      <c r="F57" s="651">
        <v>0.03</v>
      </c>
      <c r="G57" s="651">
        <v>2000</v>
      </c>
      <c r="H57" s="49"/>
      <c r="J57" s="381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3"/>
    </row>
    <row r="58" spans="2:23" ht="22.5" customHeight="1">
      <c r="B58" s="47"/>
      <c r="C58" s="312" t="s">
        <v>302</v>
      </c>
      <c r="D58" s="70" t="s">
        <v>359</v>
      </c>
      <c r="E58" s="412"/>
      <c r="F58" s="412"/>
      <c r="G58" s="412"/>
      <c r="H58" s="49"/>
      <c r="J58" s="381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3"/>
    </row>
    <row r="59" spans="2:23" ht="22.5" customHeight="1">
      <c r="B59" s="47"/>
      <c r="C59" s="136" t="s">
        <v>360</v>
      </c>
      <c r="D59" s="67" t="s">
        <v>361</v>
      </c>
      <c r="E59" s="129">
        <f>SUM(E60:E62)</f>
        <v>-178640.36</v>
      </c>
      <c r="F59" s="129">
        <f>SUM(F60:F62)</f>
        <v>-345715.52</v>
      </c>
      <c r="G59" s="129">
        <f>SUM(G60:G62)</f>
        <v>-133428.61</v>
      </c>
      <c r="H59" s="49"/>
      <c r="J59" s="381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3"/>
    </row>
    <row r="60" spans="2:23" ht="22.5" customHeight="1">
      <c r="B60" s="47"/>
      <c r="C60" s="312" t="s">
        <v>298</v>
      </c>
      <c r="D60" s="70" t="s">
        <v>362</v>
      </c>
      <c r="E60" s="412"/>
      <c r="F60" s="412"/>
      <c r="G60" s="412"/>
      <c r="H60" s="49"/>
      <c r="J60" s="381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3"/>
    </row>
    <row r="61" spans="2:23" ht="22.5" customHeight="1">
      <c r="B61" s="47"/>
      <c r="C61" s="312" t="s">
        <v>300</v>
      </c>
      <c r="D61" s="70" t="s">
        <v>363</v>
      </c>
      <c r="E61" s="412">
        <v>-178309.8</v>
      </c>
      <c r="F61" s="412">
        <v>-344515.52</v>
      </c>
      <c r="G61" s="412">
        <v>-132228.61</v>
      </c>
      <c r="H61" s="49"/>
      <c r="J61" s="381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3"/>
    </row>
    <row r="62" spans="2:23" ht="22.5" customHeight="1">
      <c r="B62" s="47"/>
      <c r="C62" s="312" t="s">
        <v>302</v>
      </c>
      <c r="D62" s="70" t="s">
        <v>364</v>
      </c>
      <c r="E62" s="412">
        <v>-330.56</v>
      </c>
      <c r="F62" s="412">
        <v>-1200</v>
      </c>
      <c r="G62" s="412">
        <v>-1200</v>
      </c>
      <c r="H62" s="49"/>
      <c r="J62" s="381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3"/>
    </row>
    <row r="63" spans="2:23" ht="22.5" customHeight="1">
      <c r="B63" s="47"/>
      <c r="C63" s="136" t="s">
        <v>365</v>
      </c>
      <c r="D63" s="67" t="s">
        <v>366</v>
      </c>
      <c r="E63" s="129">
        <f>SUM(E64:E65)</f>
        <v>0</v>
      </c>
      <c r="F63" s="129">
        <f>SUM(F64:F65)</f>
        <v>0</v>
      </c>
      <c r="G63" s="129">
        <f>SUM(G64:G65)</f>
        <v>0</v>
      </c>
      <c r="H63" s="49"/>
      <c r="J63" s="381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3"/>
    </row>
    <row r="64" spans="2:23" ht="22.5" customHeight="1">
      <c r="B64" s="47"/>
      <c r="C64" s="312" t="s">
        <v>298</v>
      </c>
      <c r="D64" s="70" t="s">
        <v>367</v>
      </c>
      <c r="E64" s="412"/>
      <c r="F64" s="412"/>
      <c r="G64" s="412"/>
      <c r="H64" s="49"/>
      <c r="J64" s="381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3"/>
    </row>
    <row r="65" spans="2:23" ht="22.5" customHeight="1">
      <c r="B65" s="47"/>
      <c r="C65" s="312" t="s">
        <v>300</v>
      </c>
      <c r="D65" s="70" t="s">
        <v>368</v>
      </c>
      <c r="E65" s="412"/>
      <c r="F65" s="412"/>
      <c r="G65" s="412"/>
      <c r="H65" s="49"/>
      <c r="J65" s="381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3"/>
    </row>
    <row r="66" spans="2:23" ht="22.5" customHeight="1">
      <c r="B66" s="47"/>
      <c r="C66" s="136" t="s">
        <v>369</v>
      </c>
      <c r="D66" s="67" t="s">
        <v>370</v>
      </c>
      <c r="E66" s="411">
        <v>-48.25</v>
      </c>
      <c r="F66" s="411">
        <v>-201.58</v>
      </c>
      <c r="G66" s="411">
        <v>0</v>
      </c>
      <c r="H66" s="49"/>
      <c r="J66" s="381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3"/>
    </row>
    <row r="67" spans="2:23" ht="22.5" customHeight="1">
      <c r="B67" s="47"/>
      <c r="C67" s="136" t="s">
        <v>371</v>
      </c>
      <c r="D67" s="67" t="s">
        <v>372</v>
      </c>
      <c r="E67" s="129">
        <f>SUM(E68:E69)</f>
        <v>0</v>
      </c>
      <c r="F67" s="129">
        <f>SUM(F68:F69)</f>
        <v>0</v>
      </c>
      <c r="G67" s="129">
        <f>SUM(G68:G69)</f>
        <v>0</v>
      </c>
      <c r="H67" s="49"/>
      <c r="J67" s="381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3"/>
    </row>
    <row r="68" spans="2:23" ht="22.5" customHeight="1">
      <c r="B68" s="47"/>
      <c r="C68" s="312" t="s">
        <v>298</v>
      </c>
      <c r="D68" s="70" t="s">
        <v>373</v>
      </c>
      <c r="E68" s="412"/>
      <c r="F68" s="412"/>
      <c r="G68" s="412"/>
      <c r="H68" s="49"/>
      <c r="J68" s="381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3"/>
    </row>
    <row r="69" spans="2:23" ht="22.5" customHeight="1">
      <c r="B69" s="47"/>
      <c r="C69" s="312" t="s">
        <v>300</v>
      </c>
      <c r="D69" s="70" t="s">
        <v>340</v>
      </c>
      <c r="E69" s="412"/>
      <c r="F69" s="412"/>
      <c r="G69" s="412"/>
      <c r="H69" s="49"/>
      <c r="J69" s="381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3"/>
    </row>
    <row r="70" spans="2:23" ht="22.5" customHeight="1">
      <c r="B70" s="47"/>
      <c r="C70" s="136" t="s">
        <v>374</v>
      </c>
      <c r="D70" s="67" t="s">
        <v>375</v>
      </c>
      <c r="E70" s="129">
        <f>SUM(E71:E73)</f>
        <v>0</v>
      </c>
      <c r="F70" s="129">
        <f>SUM(F71:F73)</f>
        <v>0</v>
      </c>
      <c r="G70" s="129">
        <f>SUM(G71:G73)</f>
        <v>0</v>
      </c>
      <c r="H70" s="49"/>
      <c r="J70" s="381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3"/>
    </row>
    <row r="71" spans="2:23" ht="22.5" customHeight="1">
      <c r="B71" s="47"/>
      <c r="C71" s="312" t="s">
        <v>298</v>
      </c>
      <c r="D71" s="70" t="s">
        <v>376</v>
      </c>
      <c r="E71" s="412"/>
      <c r="F71" s="412"/>
      <c r="G71" s="412"/>
      <c r="H71" s="49"/>
      <c r="J71" s="381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3"/>
    </row>
    <row r="72" spans="2:23" ht="22.5" customHeight="1">
      <c r="B72" s="47"/>
      <c r="C72" s="312" t="s">
        <v>300</v>
      </c>
      <c r="D72" s="70" t="s">
        <v>377</v>
      </c>
      <c r="E72" s="412"/>
      <c r="F72" s="412"/>
      <c r="G72" s="412"/>
      <c r="H72" s="49"/>
      <c r="J72" s="381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3"/>
    </row>
    <row r="73" spans="2:23" ht="22.5" customHeight="1">
      <c r="B73" s="47"/>
      <c r="C73" s="312" t="s">
        <v>302</v>
      </c>
      <c r="D73" s="70" t="s">
        <v>378</v>
      </c>
      <c r="E73" s="412"/>
      <c r="F73" s="412"/>
      <c r="G73" s="412"/>
      <c r="H73" s="49"/>
      <c r="J73" s="381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3"/>
    </row>
    <row r="74" spans="2:23" s="72" customFormat="1" ht="22.5" customHeight="1" thickBot="1">
      <c r="B74" s="23"/>
      <c r="C74" s="313" t="s">
        <v>379</v>
      </c>
      <c r="D74" s="71" t="s">
        <v>380</v>
      </c>
      <c r="E74" s="322">
        <f>E51+E59+E63+E66+E67+E70</f>
        <v>1667497.0100000002</v>
      </c>
      <c r="F74" s="322">
        <f>F51+F59+F63+F66+F67+F70</f>
        <v>1485878.4100000001</v>
      </c>
      <c r="G74" s="322">
        <f>G51+G59+G63+G66+G67+G70</f>
        <v>2185213.82</v>
      </c>
      <c r="H74" s="58"/>
      <c r="J74" s="381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3"/>
    </row>
    <row r="75" spans="2:23" ht="22.5" customHeight="1">
      <c r="B75" s="47"/>
      <c r="C75" s="314"/>
      <c r="D75" s="74"/>
      <c r="E75" s="324"/>
      <c r="F75" s="324"/>
      <c r="G75" s="324"/>
      <c r="H75" s="49"/>
      <c r="J75" s="381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3"/>
    </row>
    <row r="76" spans="2:23" s="72" customFormat="1" ht="22.5" customHeight="1" thickBot="1">
      <c r="B76" s="23"/>
      <c r="C76" s="319" t="s">
        <v>381</v>
      </c>
      <c r="D76" s="73" t="s">
        <v>382</v>
      </c>
      <c r="E76" s="325">
        <f>E74+E49</f>
        <v>1355121.1399999985</v>
      </c>
      <c r="F76" s="325">
        <f>F74+F49</f>
        <v>3643158.419999998</v>
      </c>
      <c r="G76" s="325">
        <f>G74+G49</f>
        <v>4552494.743999995</v>
      </c>
      <c r="H76" s="58"/>
      <c r="J76" s="381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3"/>
    </row>
    <row r="77" spans="2:23" ht="22.5" customHeight="1">
      <c r="B77" s="47"/>
      <c r="C77" s="136" t="s">
        <v>383</v>
      </c>
      <c r="D77" s="67" t="s">
        <v>384</v>
      </c>
      <c r="E77" s="411">
        <v>9402072.39</v>
      </c>
      <c r="F77" s="411">
        <v>574547.09</v>
      </c>
      <c r="G77" s="411">
        <v>-106465.91</v>
      </c>
      <c r="H77" s="49"/>
      <c r="J77" s="381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3"/>
    </row>
    <row r="78" spans="2:23" ht="22.5" customHeight="1">
      <c r="B78" s="47"/>
      <c r="C78" s="139"/>
      <c r="D78" s="61"/>
      <c r="E78" s="127"/>
      <c r="F78" s="127"/>
      <c r="G78" s="127"/>
      <c r="H78" s="49"/>
      <c r="J78" s="381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3"/>
    </row>
    <row r="79" spans="2:23" s="72" customFormat="1" ht="22.5" customHeight="1" thickBot="1">
      <c r="B79" s="23"/>
      <c r="C79" s="319" t="s">
        <v>385</v>
      </c>
      <c r="D79" s="73" t="s">
        <v>395</v>
      </c>
      <c r="E79" s="325">
        <f>E76+E77</f>
        <v>10757193.53</v>
      </c>
      <c r="F79" s="325">
        <f>F76+F77</f>
        <v>4217705.509999998</v>
      </c>
      <c r="G79" s="325">
        <f>G76+G77</f>
        <v>4446028.833999995</v>
      </c>
      <c r="H79" s="58"/>
      <c r="J79" s="381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3"/>
    </row>
    <row r="80" spans="2:23" ht="22.5" customHeight="1">
      <c r="B80" s="47"/>
      <c r="C80" s="139"/>
      <c r="D80" s="61"/>
      <c r="E80" s="127"/>
      <c r="F80" s="127"/>
      <c r="G80" s="127"/>
      <c r="H80" s="49"/>
      <c r="J80" s="381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3"/>
    </row>
    <row r="81" spans="2:23" ht="22.5" customHeight="1">
      <c r="B81" s="47"/>
      <c r="C81" s="134" t="s">
        <v>386</v>
      </c>
      <c r="D81" s="83" t="s">
        <v>387</v>
      </c>
      <c r="E81" s="127"/>
      <c r="F81" s="127"/>
      <c r="G81" s="127"/>
      <c r="H81" s="49"/>
      <c r="J81" s="381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3"/>
    </row>
    <row r="82" spans="2:23" ht="22.5" customHeight="1">
      <c r="B82" s="47"/>
      <c r="C82" s="136" t="s">
        <v>388</v>
      </c>
      <c r="D82" s="67" t="s">
        <v>389</v>
      </c>
      <c r="E82" s="411"/>
      <c r="F82" s="411"/>
      <c r="G82" s="411"/>
      <c r="H82" s="49"/>
      <c r="J82" s="381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3"/>
    </row>
    <row r="83" spans="2:23" ht="22.5" customHeight="1">
      <c r="B83" s="47"/>
      <c r="C83" s="139"/>
      <c r="D83" s="61"/>
      <c r="E83" s="127"/>
      <c r="F83" s="127"/>
      <c r="G83" s="127"/>
      <c r="H83" s="49"/>
      <c r="J83" s="381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3"/>
    </row>
    <row r="84" spans="2:23" s="72" customFormat="1" ht="22.5" customHeight="1" thickBot="1">
      <c r="B84" s="23"/>
      <c r="C84" s="321" t="s">
        <v>390</v>
      </c>
      <c r="D84" s="76" t="s">
        <v>391</v>
      </c>
      <c r="E84" s="133">
        <f>E79+E82</f>
        <v>10757193.53</v>
      </c>
      <c r="F84" s="133">
        <f>F79+F82</f>
        <v>4217705.509999998</v>
      </c>
      <c r="G84" s="133">
        <f>G79+G82</f>
        <v>4446028.833999995</v>
      </c>
      <c r="H84" s="58"/>
      <c r="J84" s="381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3"/>
    </row>
    <row r="85" spans="2:23" ht="22.5" customHeight="1">
      <c r="B85" s="47"/>
      <c r="C85" s="43"/>
      <c r="D85" s="43"/>
      <c r="E85" s="43"/>
      <c r="F85" s="43"/>
      <c r="G85" s="43"/>
      <c r="H85" s="49"/>
      <c r="J85" s="381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3"/>
    </row>
    <row r="86" spans="2:23" ht="22.5" customHeight="1" thickBot="1">
      <c r="B86" s="51"/>
      <c r="C86" s="1299"/>
      <c r="D86" s="1299"/>
      <c r="E86" s="1299"/>
      <c r="F86" s="1299"/>
      <c r="G86" s="53"/>
      <c r="H86" s="54"/>
      <c r="J86" s="384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6"/>
    </row>
    <row r="87" spans="3:9" ht="22.5" customHeight="1">
      <c r="C87" s="43"/>
      <c r="D87" s="43"/>
      <c r="E87" s="43"/>
      <c r="F87" s="43"/>
      <c r="G87" s="43"/>
      <c r="I87" s="41" t="s">
        <v>83</v>
      </c>
    </row>
    <row r="88" spans="3:7" ht="12.75">
      <c r="C88" s="36" t="s">
        <v>286</v>
      </c>
      <c r="D88" s="43"/>
      <c r="E88" s="43"/>
      <c r="F88" s="43"/>
      <c r="G88" s="40" t="s">
        <v>256</v>
      </c>
    </row>
    <row r="89" spans="3:7" ht="12.75">
      <c r="C89" s="37" t="s">
        <v>287</v>
      </c>
      <c r="D89" s="43"/>
      <c r="E89" s="43"/>
      <c r="F89" s="43"/>
      <c r="G89" s="43"/>
    </row>
    <row r="90" spans="3:7" ht="12.75">
      <c r="C90" s="37" t="s">
        <v>288</v>
      </c>
      <c r="D90" s="43"/>
      <c r="E90" s="43"/>
      <c r="F90" s="43"/>
      <c r="G90" s="43"/>
    </row>
    <row r="91" spans="3:7" ht="12.75">
      <c r="C91" s="37" t="s">
        <v>289</v>
      </c>
      <c r="D91" s="43"/>
      <c r="E91" s="43"/>
      <c r="F91" s="43"/>
      <c r="G91" s="43"/>
    </row>
    <row r="92" spans="3:7" ht="12.75">
      <c r="C92" s="37" t="s">
        <v>290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7"/>
  <sheetViews>
    <sheetView zoomScale="80" zoomScaleNormal="80" zoomScaleSheetLayoutView="50" zoomScalePageLayoutView="125" workbookViewId="0" topLeftCell="A58">
      <selection activeCell="M21" sqref="M21"/>
    </sheetView>
  </sheetViews>
  <sheetFormatPr defaultColWidth="10.6640625" defaultRowHeight="22.5" customHeight="1"/>
  <cols>
    <col min="1" max="1" width="4.3359375" style="557" bestFit="1" customWidth="1"/>
    <col min="2" max="2" width="3.3359375" style="557" customWidth="1"/>
    <col min="3" max="3" width="13.5546875" style="557" customWidth="1"/>
    <col min="4" max="4" width="42.4453125" style="557" customWidth="1"/>
    <col min="5" max="6" width="15.6640625" style="559" customWidth="1"/>
    <col min="7" max="7" width="30.99609375" style="559" customWidth="1"/>
    <col min="8" max="8" width="15.5546875" style="559" customWidth="1"/>
    <col min="9" max="9" width="16.6640625" style="559" customWidth="1"/>
    <col min="10" max="10" width="30.5546875" style="559" customWidth="1"/>
    <col min="11" max="12" width="15.6640625" style="559" customWidth="1"/>
    <col min="13" max="13" width="27.3359375" style="559" customWidth="1"/>
    <col min="14" max="14" width="3.3359375" style="557" customWidth="1"/>
    <col min="15" max="16384" width="10.6640625" style="557" customWidth="1"/>
  </cols>
  <sheetData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557" t="s">
        <v>82</v>
      </c>
    </row>
    <row r="5" spans="2:29" ht="9" customHeight="1"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2"/>
      <c r="N5" s="563"/>
      <c r="P5" s="364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6"/>
    </row>
    <row r="6" spans="2:29" ht="30" customHeight="1">
      <c r="B6" s="564"/>
      <c r="C6" s="565" t="s">
        <v>216</v>
      </c>
      <c r="D6" s="566"/>
      <c r="E6" s="567"/>
      <c r="F6" s="567"/>
      <c r="G6" s="567"/>
      <c r="H6" s="567"/>
      <c r="I6" s="567"/>
      <c r="J6" s="567"/>
      <c r="K6" s="567"/>
      <c r="L6" s="567"/>
      <c r="M6" s="1291">
        <f>ejercicio</f>
        <v>2020</v>
      </c>
      <c r="N6" s="568"/>
      <c r="P6" s="367"/>
      <c r="Q6" s="368" t="s">
        <v>906</v>
      </c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70"/>
    </row>
    <row r="7" spans="2:29" ht="30" customHeight="1">
      <c r="B7" s="564"/>
      <c r="C7" s="565" t="s">
        <v>217</v>
      </c>
      <c r="D7" s="566"/>
      <c r="E7" s="567"/>
      <c r="F7" s="567"/>
      <c r="G7" s="567"/>
      <c r="H7" s="567"/>
      <c r="I7" s="567"/>
      <c r="J7" s="567"/>
      <c r="K7" s="567"/>
      <c r="L7" s="567"/>
      <c r="M7" s="1291"/>
      <c r="N7" s="569"/>
      <c r="P7" s="367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70"/>
    </row>
    <row r="8" spans="2:29" ht="30" customHeight="1">
      <c r="B8" s="564"/>
      <c r="C8" s="570"/>
      <c r="D8" s="566"/>
      <c r="E8" s="567"/>
      <c r="F8" s="567"/>
      <c r="G8" s="567"/>
      <c r="H8" s="567"/>
      <c r="I8" s="567"/>
      <c r="J8" s="567"/>
      <c r="K8" s="567"/>
      <c r="L8" s="567"/>
      <c r="M8" s="567"/>
      <c r="N8" s="569"/>
      <c r="P8" s="367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70"/>
    </row>
    <row r="9" spans="2:29" s="573" customFormat="1" ht="30" customHeight="1">
      <c r="B9" s="571"/>
      <c r="C9" s="572" t="s">
        <v>218</v>
      </c>
      <c r="D9" s="1293" t="str">
        <f>Entidad</f>
        <v>INSTITUTO TECNOLOGICO Y DE ENERGIAS RENOVABLES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569"/>
      <c r="P9" s="371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3"/>
    </row>
    <row r="10" spans="2:29" ht="6.75" customHeight="1">
      <c r="B10" s="564"/>
      <c r="C10" s="566"/>
      <c r="D10" s="566"/>
      <c r="E10" s="567"/>
      <c r="F10" s="567"/>
      <c r="G10" s="567"/>
      <c r="H10" s="567"/>
      <c r="I10" s="567"/>
      <c r="J10" s="567"/>
      <c r="K10" s="567"/>
      <c r="L10" s="567"/>
      <c r="M10" s="567"/>
      <c r="N10" s="569"/>
      <c r="P10" s="367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70"/>
    </row>
    <row r="11" spans="2:29" s="577" customFormat="1" ht="30" customHeight="1">
      <c r="B11" s="574"/>
      <c r="C11" s="575" t="s">
        <v>858</v>
      </c>
      <c r="D11" s="575"/>
      <c r="E11" s="576"/>
      <c r="F11" s="576"/>
      <c r="G11" s="576"/>
      <c r="H11" s="576"/>
      <c r="I11" s="576"/>
      <c r="J11" s="576"/>
      <c r="K11" s="576"/>
      <c r="L11" s="576"/>
      <c r="M11" s="576"/>
      <c r="N11" s="569"/>
      <c r="P11" s="374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6"/>
    </row>
    <row r="12" spans="2:29" s="577" customFormat="1" ht="30" customHeight="1">
      <c r="B12" s="574"/>
      <c r="C12" s="1301"/>
      <c r="D12" s="1301"/>
      <c r="E12" s="578"/>
      <c r="F12" s="578"/>
      <c r="G12" s="578"/>
      <c r="H12" s="578"/>
      <c r="I12" s="578"/>
      <c r="J12" s="578"/>
      <c r="K12" s="578"/>
      <c r="L12" s="578"/>
      <c r="M12" s="578"/>
      <c r="N12" s="569"/>
      <c r="P12" s="374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6"/>
    </row>
    <row r="13" spans="2:29" s="577" customFormat="1" ht="30" customHeight="1">
      <c r="B13" s="574"/>
      <c r="D13" s="579"/>
      <c r="E13" s="578"/>
      <c r="F13" s="578"/>
      <c r="G13" s="578"/>
      <c r="H13" s="578"/>
      <c r="I13" s="578"/>
      <c r="J13" s="578"/>
      <c r="K13" s="578"/>
      <c r="L13" s="578"/>
      <c r="M13" s="578"/>
      <c r="N13" s="569"/>
      <c r="P13" s="367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70"/>
    </row>
    <row r="14" spans="2:29" s="587" customFormat="1" ht="22.5" customHeight="1">
      <c r="B14" s="580"/>
      <c r="C14" s="581"/>
      <c r="D14" s="582"/>
      <c r="E14" s="583"/>
      <c r="F14" s="584" t="s">
        <v>392</v>
      </c>
      <c r="G14" s="585">
        <f>ejercicio-2</f>
        <v>2018</v>
      </c>
      <c r="H14" s="583"/>
      <c r="I14" s="586" t="s">
        <v>393</v>
      </c>
      <c r="J14" s="585">
        <f>ejercicio-1</f>
        <v>2019</v>
      </c>
      <c r="K14" s="583"/>
      <c r="L14" s="584" t="s">
        <v>394</v>
      </c>
      <c r="M14" s="585">
        <f>ejercicio</f>
        <v>2020</v>
      </c>
      <c r="N14" s="569"/>
      <c r="P14" s="367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70"/>
    </row>
    <row r="15" spans="2:29" s="592" customFormat="1" ht="22.5" customHeight="1">
      <c r="B15" s="588"/>
      <c r="C15" s="589" t="s">
        <v>875</v>
      </c>
      <c r="D15" s="590"/>
      <c r="E15" s="591" t="s">
        <v>859</v>
      </c>
      <c r="F15" s="591" t="s">
        <v>860</v>
      </c>
      <c r="G15" s="591" t="s">
        <v>796</v>
      </c>
      <c r="H15" s="591" t="s">
        <v>859</v>
      </c>
      <c r="I15" s="591" t="s">
        <v>860</v>
      </c>
      <c r="J15" s="591" t="s">
        <v>796</v>
      </c>
      <c r="K15" s="591" t="s">
        <v>859</v>
      </c>
      <c r="L15" s="591" t="s">
        <v>860</v>
      </c>
      <c r="M15" s="591" t="s">
        <v>796</v>
      </c>
      <c r="N15" s="569"/>
      <c r="P15" s="367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70"/>
    </row>
    <row r="16" spans="2:29" s="599" customFormat="1" ht="22.5" customHeight="1">
      <c r="B16" s="593"/>
      <c r="C16" s="594" t="s">
        <v>861</v>
      </c>
      <c r="D16" s="595"/>
      <c r="E16" s="596">
        <f>SUM(E17:E18)</f>
        <v>879908.96</v>
      </c>
      <c r="F16" s="596">
        <f>SUM(F17:F18)</f>
        <v>61593.6272</v>
      </c>
      <c r="G16" s="597"/>
      <c r="H16" s="596">
        <f>SUM(H17:H18)</f>
        <v>879609.96</v>
      </c>
      <c r="I16" s="596">
        <f>SUM(I17:I18)</f>
        <v>57174.6474</v>
      </c>
      <c r="J16" s="597"/>
      <c r="K16" s="596">
        <f>SUM(K17:K18)</f>
        <v>879609.96</v>
      </c>
      <c r="L16" s="596">
        <f>SUM(L17:L18)</f>
        <v>57174.6474</v>
      </c>
      <c r="M16" s="598"/>
      <c r="N16" s="569"/>
      <c r="P16" s="367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70"/>
    </row>
    <row r="17" spans="2:29" s="599" customFormat="1" ht="19.5" customHeight="1">
      <c r="B17" s="593"/>
      <c r="C17" s="727"/>
      <c r="D17" s="728" t="s">
        <v>862</v>
      </c>
      <c r="E17" s="427"/>
      <c r="F17" s="427"/>
      <c r="G17" s="729"/>
      <c r="H17" s="427"/>
      <c r="I17" s="427"/>
      <c r="J17" s="729"/>
      <c r="K17" s="881"/>
      <c r="L17" s="427"/>
      <c r="M17" s="730"/>
      <c r="N17" s="634"/>
      <c r="P17" s="378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80"/>
    </row>
    <row r="18" spans="2:29" s="599" customFormat="1" ht="19.5" customHeight="1">
      <c r="B18" s="593"/>
      <c r="C18" s="731"/>
      <c r="D18" s="732" t="s">
        <v>863</v>
      </c>
      <c r="E18" s="435">
        <v>879908.96</v>
      </c>
      <c r="F18" s="435">
        <v>61593.6272</v>
      </c>
      <c r="G18" s="733"/>
      <c r="H18" s="435">
        <v>879609.96</v>
      </c>
      <c r="I18" s="435">
        <v>57174.6474</v>
      </c>
      <c r="J18" s="733"/>
      <c r="K18" s="435">
        <v>879609.96</v>
      </c>
      <c r="L18" s="435">
        <v>57174.6474</v>
      </c>
      <c r="M18" s="734"/>
      <c r="N18" s="634"/>
      <c r="P18" s="378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80"/>
    </row>
    <row r="19" spans="2:29" s="599" customFormat="1" ht="22.5" customHeight="1">
      <c r="B19" s="593"/>
      <c r="C19" s="594" t="s">
        <v>864</v>
      </c>
      <c r="D19" s="595"/>
      <c r="E19" s="596">
        <f>+E20+E25</f>
        <v>1606253.3624299066</v>
      </c>
      <c r="F19" s="596">
        <f>+F20+F25</f>
        <v>112054.9410700935</v>
      </c>
      <c r="G19" s="597"/>
      <c r="H19" s="596">
        <f>+H20+H25</f>
        <v>1521792.5707</v>
      </c>
      <c r="I19" s="596">
        <f>+I20+I25</f>
        <v>98616.6766455</v>
      </c>
      <c r="J19" s="597"/>
      <c r="K19" s="596">
        <f>+K20+K25</f>
        <v>1675776.7565649531</v>
      </c>
      <c r="L19" s="596">
        <f>+L20+L25</f>
        <v>108625.64807672198</v>
      </c>
      <c r="M19" s="598"/>
      <c r="N19" s="569"/>
      <c r="P19" s="367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70"/>
    </row>
    <row r="20" spans="2:29" s="599" customFormat="1" ht="19.5" customHeight="1">
      <c r="B20" s="593"/>
      <c r="C20" s="727"/>
      <c r="D20" s="728" t="s">
        <v>1109</v>
      </c>
      <c r="E20" s="735">
        <f>SUM(E21:E24)</f>
        <v>5468.49</v>
      </c>
      <c r="F20" s="735">
        <f>SUM(F21:F24)</f>
        <v>0</v>
      </c>
      <c r="G20" s="736"/>
      <c r="H20" s="735">
        <f>SUM(H21:H24)</f>
        <v>4612.93</v>
      </c>
      <c r="I20" s="735">
        <f>SUM(I21:I24)</f>
        <v>0</v>
      </c>
      <c r="J20" s="736"/>
      <c r="K20" s="735">
        <f>SUM(K21:K24)</f>
        <v>4612.94</v>
      </c>
      <c r="L20" s="735">
        <f>SUM(L21:L24)</f>
        <v>0</v>
      </c>
      <c r="M20" s="737"/>
      <c r="N20" s="634"/>
      <c r="P20" s="378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80"/>
    </row>
    <row r="21" spans="2:29" s="602" customFormat="1" ht="19.5" customHeight="1">
      <c r="B21" s="571"/>
      <c r="C21" s="504" t="s">
        <v>752</v>
      </c>
      <c r="D21" s="505"/>
      <c r="E21" s="458">
        <v>5468.49</v>
      </c>
      <c r="F21" s="458">
        <v>0</v>
      </c>
      <c r="G21" s="495"/>
      <c r="H21" s="458">
        <v>4612.93</v>
      </c>
      <c r="I21" s="458">
        <v>0</v>
      </c>
      <c r="J21" s="495"/>
      <c r="K21" s="458">
        <v>4612.94</v>
      </c>
      <c r="L21" s="458">
        <v>0</v>
      </c>
      <c r="M21" s="465"/>
      <c r="N21" s="569"/>
      <c r="P21" s="367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70"/>
    </row>
    <row r="22" spans="2:29" s="602" customFormat="1" ht="19.5" customHeight="1">
      <c r="B22" s="571"/>
      <c r="C22" s="504"/>
      <c r="D22" s="505"/>
      <c r="E22" s="458"/>
      <c r="F22" s="458"/>
      <c r="G22" s="495"/>
      <c r="H22" s="458"/>
      <c r="I22" s="458"/>
      <c r="J22" s="495"/>
      <c r="K22" s="458"/>
      <c r="L22" s="458"/>
      <c r="M22" s="465"/>
      <c r="N22" s="569"/>
      <c r="P22" s="367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70"/>
    </row>
    <row r="23" spans="2:29" s="602" customFormat="1" ht="19.5" customHeight="1">
      <c r="B23" s="571"/>
      <c r="C23" s="504"/>
      <c r="D23" s="505"/>
      <c r="E23" s="458"/>
      <c r="F23" s="458"/>
      <c r="G23" s="495"/>
      <c r="H23" s="458"/>
      <c r="I23" s="458"/>
      <c r="J23" s="495"/>
      <c r="K23" s="458"/>
      <c r="L23" s="458"/>
      <c r="M23" s="465"/>
      <c r="N23" s="569"/>
      <c r="P23" s="367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70"/>
    </row>
    <row r="24" spans="2:29" s="602" customFormat="1" ht="19.5" customHeight="1">
      <c r="B24" s="571"/>
      <c r="C24" s="504"/>
      <c r="D24" s="505"/>
      <c r="E24" s="458"/>
      <c r="F24" s="458"/>
      <c r="G24" s="495"/>
      <c r="H24" s="458"/>
      <c r="I24" s="458"/>
      <c r="J24" s="495"/>
      <c r="K24" s="458"/>
      <c r="L24" s="458"/>
      <c r="M24" s="465"/>
      <c r="N24" s="569"/>
      <c r="P24" s="367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70"/>
    </row>
    <row r="25" spans="2:29" s="599" customFormat="1" ht="19.5" customHeight="1">
      <c r="B25" s="593"/>
      <c r="C25" s="738"/>
      <c r="D25" s="739" t="s">
        <v>1110</v>
      </c>
      <c r="E25" s="740">
        <f>SUM(E26:E35)</f>
        <v>1600784.8724299066</v>
      </c>
      <c r="F25" s="740">
        <f>SUM(F26:F35)</f>
        <v>112054.9410700935</v>
      </c>
      <c r="G25" s="741"/>
      <c r="H25" s="740">
        <f>SUM(H26:H35)</f>
        <v>1517179.6407</v>
      </c>
      <c r="I25" s="740">
        <f>SUM(I26:I35)</f>
        <v>98616.6766455</v>
      </c>
      <c r="J25" s="741"/>
      <c r="K25" s="740">
        <f>SUM(K26:K35)</f>
        <v>1671163.8165649532</v>
      </c>
      <c r="L25" s="740">
        <f>SUM(L26:L35)</f>
        <v>108625.64807672198</v>
      </c>
      <c r="M25" s="742"/>
      <c r="N25" s="634"/>
      <c r="P25" s="378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80"/>
    </row>
    <row r="26" spans="2:29" s="602" customFormat="1" ht="19.5" customHeight="1">
      <c r="B26" s="571"/>
      <c r="C26" s="504" t="s">
        <v>765</v>
      </c>
      <c r="D26" s="505"/>
      <c r="E26" s="458">
        <v>16594.76</v>
      </c>
      <c r="F26" s="458">
        <v>1161.6332</v>
      </c>
      <c r="G26" s="495"/>
      <c r="H26" s="458">
        <v>16993.53</v>
      </c>
      <c r="I26" s="458">
        <v>1104.57945</v>
      </c>
      <c r="J26" s="495"/>
      <c r="K26" s="458">
        <v>15000</v>
      </c>
      <c r="L26" s="458">
        <v>975</v>
      </c>
      <c r="M26" s="465"/>
      <c r="N26" s="569"/>
      <c r="P26" s="367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70"/>
    </row>
    <row r="27" spans="2:29" s="602" customFormat="1" ht="19.5" customHeight="1">
      <c r="B27" s="571"/>
      <c r="C27" s="1153" t="s">
        <v>769</v>
      </c>
      <c r="D27" s="505"/>
      <c r="E27" s="458">
        <v>32040.19</v>
      </c>
      <c r="F27" s="458">
        <v>2242.8133000000003</v>
      </c>
      <c r="G27" s="495"/>
      <c r="H27" s="458"/>
      <c r="I27" s="458"/>
      <c r="J27" s="495"/>
      <c r="K27" s="458"/>
      <c r="L27" s="458"/>
      <c r="M27" s="465"/>
      <c r="N27" s="569"/>
      <c r="P27" s="367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70"/>
    </row>
    <row r="28" spans="2:29" s="602" customFormat="1" ht="19.5" customHeight="1">
      <c r="B28" s="571"/>
      <c r="C28" s="1153" t="s">
        <v>1007</v>
      </c>
      <c r="D28" s="505"/>
      <c r="E28" s="458">
        <v>1147166.83</v>
      </c>
      <c r="F28" s="458">
        <v>80301.67810000002</v>
      </c>
      <c r="G28" s="495"/>
      <c r="H28" s="458">
        <v>957159.23</v>
      </c>
      <c r="I28" s="458">
        <v>62215.34995</v>
      </c>
      <c r="J28" s="495"/>
      <c r="K28" s="458">
        <f>660021.1+532980.14</f>
        <v>1193001.24</v>
      </c>
      <c r="L28" s="458">
        <v>77545.0806</v>
      </c>
      <c r="M28" s="465"/>
      <c r="N28" s="569"/>
      <c r="P28" s="367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70"/>
    </row>
    <row r="29" spans="2:29" s="602" customFormat="1" ht="19.5" customHeight="1">
      <c r="B29" s="571"/>
      <c r="C29" s="1153" t="s">
        <v>1008</v>
      </c>
      <c r="D29" s="505"/>
      <c r="E29" s="458">
        <v>12738</v>
      </c>
      <c r="F29" s="458">
        <v>891.6600000000001</v>
      </c>
      <c r="G29" s="495"/>
      <c r="H29" s="458"/>
      <c r="I29" s="458"/>
      <c r="J29" s="495"/>
      <c r="K29" s="458"/>
      <c r="L29" s="458"/>
      <c r="M29" s="465"/>
      <c r="N29" s="569"/>
      <c r="P29" s="367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70"/>
    </row>
    <row r="30" spans="2:29" s="602" customFormat="1" ht="19.5" customHeight="1">
      <c r="B30" s="571"/>
      <c r="C30" s="1153" t="s">
        <v>1009</v>
      </c>
      <c r="D30" s="505"/>
      <c r="E30" s="458">
        <v>17690</v>
      </c>
      <c r="F30" s="458">
        <v>1238.3000000000002</v>
      </c>
      <c r="G30" s="495"/>
      <c r="H30" s="458">
        <v>212195.35</v>
      </c>
      <c r="I30" s="458">
        <v>13792.697750000001</v>
      </c>
      <c r="J30" s="495"/>
      <c r="K30" s="458">
        <v>37324</v>
      </c>
      <c r="L30" s="458">
        <v>2426.06</v>
      </c>
      <c r="M30" s="465"/>
      <c r="N30" s="569"/>
      <c r="P30" s="367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70"/>
    </row>
    <row r="31" spans="2:29" s="602" customFormat="1" ht="19.5" customHeight="1">
      <c r="B31" s="571"/>
      <c r="C31" s="1153" t="s">
        <v>779</v>
      </c>
      <c r="D31" s="505"/>
      <c r="E31" s="458">
        <v>26348</v>
      </c>
      <c r="F31" s="458">
        <v>1844.3600000000001</v>
      </c>
      <c r="G31" s="495"/>
      <c r="H31" s="458">
        <v>19157</v>
      </c>
      <c r="I31" s="458">
        <v>1245.2050000000002</v>
      </c>
      <c r="J31" s="495"/>
      <c r="K31" s="458">
        <v>12102</v>
      </c>
      <c r="L31" s="458">
        <v>786.63</v>
      </c>
      <c r="M31" s="465"/>
      <c r="N31" s="569"/>
      <c r="P31" s="367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70"/>
    </row>
    <row r="32" spans="2:29" s="602" customFormat="1" ht="19.5" customHeight="1">
      <c r="B32" s="571"/>
      <c r="C32" s="1153" t="s">
        <v>1010</v>
      </c>
      <c r="D32" s="505"/>
      <c r="E32" s="458">
        <v>12126.822429906542</v>
      </c>
      <c r="F32" s="458">
        <v>848.8775700934581</v>
      </c>
      <c r="G32" s="495"/>
      <c r="H32" s="458">
        <v>11249.2507</v>
      </c>
      <c r="I32" s="458">
        <v>731.2012955</v>
      </c>
      <c r="J32" s="495"/>
      <c r="K32" s="458">
        <v>11688.036564953272</v>
      </c>
      <c r="L32" s="458">
        <v>759.7223767219627</v>
      </c>
      <c r="M32" s="465"/>
      <c r="N32" s="569"/>
      <c r="P32" s="367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70"/>
    </row>
    <row r="33" spans="2:29" s="602" customFormat="1" ht="19.5" customHeight="1">
      <c r="B33" s="571"/>
      <c r="C33" s="1153" t="s">
        <v>1011</v>
      </c>
      <c r="D33" s="505"/>
      <c r="E33" s="458">
        <v>149055.23</v>
      </c>
      <c r="F33" s="458">
        <v>10433.866100000001</v>
      </c>
      <c r="G33" s="495"/>
      <c r="H33" s="458">
        <v>113400.24</v>
      </c>
      <c r="I33" s="458">
        <v>7371.015600000001</v>
      </c>
      <c r="J33" s="495"/>
      <c r="K33" s="458">
        <f>120000+95023.5</f>
        <v>215023.5</v>
      </c>
      <c r="L33" s="458">
        <f>K33*0.065</f>
        <v>13976.5275</v>
      </c>
      <c r="M33" s="465"/>
      <c r="N33" s="569"/>
      <c r="P33" s="367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70"/>
    </row>
    <row r="34" spans="2:29" s="602" customFormat="1" ht="19.5" customHeight="1">
      <c r="B34" s="571"/>
      <c r="C34" s="1153" t="s">
        <v>1012</v>
      </c>
      <c r="D34" s="505"/>
      <c r="E34" s="458">
        <v>187025.04</v>
      </c>
      <c r="F34" s="458">
        <v>13091.752800000002</v>
      </c>
      <c r="G34" s="495"/>
      <c r="H34" s="458">
        <v>187025.04</v>
      </c>
      <c r="I34" s="458">
        <v>12156.627600000002</v>
      </c>
      <c r="J34" s="495"/>
      <c r="K34" s="458">
        <v>187025.04</v>
      </c>
      <c r="L34" s="458">
        <v>12156.627600000002</v>
      </c>
      <c r="M34" s="465"/>
      <c r="N34" s="569"/>
      <c r="P34" s="367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70"/>
    </row>
    <row r="35" spans="2:29" s="602" customFormat="1" ht="19.5" customHeight="1">
      <c r="B35" s="571"/>
      <c r="C35" s="506"/>
      <c r="D35" s="507"/>
      <c r="E35" s="460"/>
      <c r="F35" s="460"/>
      <c r="G35" s="476"/>
      <c r="H35" s="460"/>
      <c r="I35" s="460"/>
      <c r="J35" s="476"/>
      <c r="K35" s="460"/>
      <c r="L35" s="460"/>
      <c r="M35" s="466"/>
      <c r="N35" s="569"/>
      <c r="P35" s="367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70"/>
    </row>
    <row r="36" spans="2:29" s="599" customFormat="1" ht="22.5" customHeight="1">
      <c r="B36" s="593"/>
      <c r="C36" s="594" t="s">
        <v>865</v>
      </c>
      <c r="D36" s="595"/>
      <c r="E36" s="596">
        <f>+E37+E46</f>
        <v>5998279.377570094</v>
      </c>
      <c r="F36" s="596">
        <f>+F37+F46</f>
        <v>419879.5564299066</v>
      </c>
      <c r="G36" s="597"/>
      <c r="H36" s="596">
        <f>+H37+H46</f>
        <v>15274202.0593</v>
      </c>
      <c r="I36" s="596">
        <f>+I37+I46</f>
        <v>992823.1338545001</v>
      </c>
      <c r="J36" s="597"/>
      <c r="K36" s="596">
        <f>+K37+K46</f>
        <v>18346727.253435045</v>
      </c>
      <c r="L36" s="596">
        <f>+L37+L46</f>
        <v>1192537.2714732778</v>
      </c>
      <c r="M36" s="598"/>
      <c r="N36" s="569"/>
      <c r="P36" s="378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80"/>
    </row>
    <row r="37" spans="2:29" s="613" customFormat="1" ht="18.75" customHeight="1">
      <c r="B37" s="606"/>
      <c r="C37" s="607" t="s">
        <v>866</v>
      </c>
      <c r="D37" s="608"/>
      <c r="E37" s="609">
        <f>E38+E42</f>
        <v>21254.018691588786</v>
      </c>
      <c r="F37" s="609">
        <f>F38+F42</f>
        <v>1487.7813084112152</v>
      </c>
      <c r="G37" s="610"/>
      <c r="H37" s="609">
        <f>H38+H42</f>
        <v>17357.08169</v>
      </c>
      <c r="I37" s="609">
        <f>I38+I42</f>
        <v>1128.21030985</v>
      </c>
      <c r="J37" s="610"/>
      <c r="K37" s="609">
        <f>K38+K42</f>
        <v>19305.55019079439</v>
      </c>
      <c r="L37" s="609">
        <f>L38+L42</f>
        <v>1254.8607624016356</v>
      </c>
      <c r="M37" s="611"/>
      <c r="N37" s="612"/>
      <c r="P37" s="551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3"/>
    </row>
    <row r="38" spans="2:29" s="599" customFormat="1" ht="18.75" customHeight="1">
      <c r="B38" s="593"/>
      <c r="C38" s="727"/>
      <c r="D38" s="728" t="s">
        <v>1111</v>
      </c>
      <c r="E38" s="735">
        <f>SUM(E39:E41)</f>
        <v>0</v>
      </c>
      <c r="F38" s="735">
        <f>SUM(F39:F41)</f>
        <v>0</v>
      </c>
      <c r="G38" s="736"/>
      <c r="H38" s="735">
        <f>SUM(H39:H41)</f>
        <v>0</v>
      </c>
      <c r="I38" s="735">
        <f>SUM(I39:I41)</f>
        <v>0</v>
      </c>
      <c r="J38" s="736"/>
      <c r="K38" s="735">
        <f>SUM(K39:K41)</f>
        <v>0</v>
      </c>
      <c r="L38" s="735">
        <f>SUM(L39:L41)</f>
        <v>0</v>
      </c>
      <c r="M38" s="737"/>
      <c r="N38" s="634"/>
      <c r="P38" s="378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80"/>
    </row>
    <row r="39" spans="2:29" s="602" customFormat="1" ht="18.75" customHeight="1">
      <c r="B39" s="571"/>
      <c r="C39" s="502"/>
      <c r="D39" s="503"/>
      <c r="E39" s="455"/>
      <c r="F39" s="455"/>
      <c r="G39" s="493"/>
      <c r="H39" s="455"/>
      <c r="I39" s="455"/>
      <c r="J39" s="493"/>
      <c r="K39" s="455"/>
      <c r="L39" s="455"/>
      <c r="M39" s="494"/>
      <c r="N39" s="569"/>
      <c r="P39" s="367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70"/>
    </row>
    <row r="40" spans="2:29" s="602" customFormat="1" ht="18.75" customHeight="1">
      <c r="B40" s="571"/>
      <c r="C40" s="502"/>
      <c r="D40" s="503"/>
      <c r="E40" s="455"/>
      <c r="F40" s="455"/>
      <c r="G40" s="493"/>
      <c r="H40" s="455"/>
      <c r="I40" s="455"/>
      <c r="J40" s="493"/>
      <c r="K40" s="455"/>
      <c r="L40" s="455"/>
      <c r="M40" s="494"/>
      <c r="N40" s="569"/>
      <c r="P40" s="367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70"/>
    </row>
    <row r="41" spans="2:29" s="602" customFormat="1" ht="18.75" customHeight="1">
      <c r="B41" s="571"/>
      <c r="C41" s="502"/>
      <c r="D41" s="503"/>
      <c r="E41" s="455"/>
      <c r="F41" s="455"/>
      <c r="G41" s="493"/>
      <c r="H41" s="455"/>
      <c r="I41" s="455"/>
      <c r="J41" s="493"/>
      <c r="K41" s="455"/>
      <c r="L41" s="455"/>
      <c r="M41" s="494"/>
      <c r="N41" s="569"/>
      <c r="P41" s="367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70"/>
    </row>
    <row r="42" spans="2:29" s="599" customFormat="1" ht="18.75" customHeight="1">
      <c r="B42" s="593"/>
      <c r="C42" s="727"/>
      <c r="D42" s="728" t="s">
        <v>1112</v>
      </c>
      <c r="E42" s="735">
        <f>SUM(E43:E45)</f>
        <v>21254.018691588786</v>
      </c>
      <c r="F42" s="735">
        <f>SUM(F43:F45)</f>
        <v>1487.7813084112152</v>
      </c>
      <c r="G42" s="736"/>
      <c r="H42" s="735">
        <f>SUM(H43:H45)</f>
        <v>17357.08169</v>
      </c>
      <c r="I42" s="735">
        <f>SUM(I43:I45)</f>
        <v>1128.21030985</v>
      </c>
      <c r="J42" s="736"/>
      <c r="K42" s="735">
        <f>SUM(K43:K45)</f>
        <v>19305.55019079439</v>
      </c>
      <c r="L42" s="735">
        <f>SUM(L43:L45)</f>
        <v>1254.8607624016356</v>
      </c>
      <c r="M42" s="737"/>
      <c r="N42" s="634"/>
      <c r="P42" s="743"/>
      <c r="Q42" s="744"/>
      <c r="R42" s="744"/>
      <c r="S42" s="744"/>
      <c r="T42" s="744"/>
      <c r="U42" s="744"/>
      <c r="V42" s="744"/>
      <c r="W42" s="744"/>
      <c r="X42" s="744"/>
      <c r="Y42" s="744"/>
      <c r="Z42" s="744"/>
      <c r="AA42" s="744"/>
      <c r="AB42" s="744"/>
      <c r="AC42" s="745"/>
    </row>
    <row r="43" spans="2:29" s="602" customFormat="1" ht="18.75" customHeight="1">
      <c r="B43" s="571"/>
      <c r="C43" s="502" t="s">
        <v>1013</v>
      </c>
      <c r="D43" s="503"/>
      <c r="E43" s="455">
        <f>10638.6/1.07</f>
        <v>9942.616822429907</v>
      </c>
      <c r="F43" s="455">
        <v>695.9831775700935</v>
      </c>
      <c r="G43" s="493"/>
      <c r="H43" s="455">
        <v>8031.86479</v>
      </c>
      <c r="I43" s="455">
        <v>522.07121135</v>
      </c>
      <c r="J43" s="493"/>
      <c r="K43" s="455">
        <v>8987.240806214953</v>
      </c>
      <c r="L43" s="455">
        <v>584.170652403972</v>
      </c>
      <c r="M43" s="494"/>
      <c r="N43" s="569"/>
      <c r="P43" s="381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3"/>
    </row>
    <row r="44" spans="2:29" s="602" customFormat="1" ht="18.75" customHeight="1">
      <c r="B44" s="571"/>
      <c r="C44" s="502" t="s">
        <v>1014</v>
      </c>
      <c r="D44" s="503"/>
      <c r="E44" s="455">
        <f>12103.2/1.07</f>
        <v>11311.401869158879</v>
      </c>
      <c r="F44" s="455">
        <v>791.7981308411216</v>
      </c>
      <c r="G44" s="493"/>
      <c r="H44" s="455">
        <v>9325.2169</v>
      </c>
      <c r="I44" s="455">
        <v>606.1390984999999</v>
      </c>
      <c r="J44" s="493"/>
      <c r="K44" s="455">
        <v>10318.30938457944</v>
      </c>
      <c r="L44" s="455">
        <v>670.6901099976636</v>
      </c>
      <c r="M44" s="494"/>
      <c r="N44" s="569"/>
      <c r="P44" s="381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3"/>
    </row>
    <row r="45" spans="2:29" s="602" customFormat="1" ht="18.75" customHeight="1">
      <c r="B45" s="571"/>
      <c r="C45" s="502"/>
      <c r="D45" s="503"/>
      <c r="E45" s="455"/>
      <c r="F45" s="455"/>
      <c r="G45" s="493"/>
      <c r="H45" s="455"/>
      <c r="I45" s="455"/>
      <c r="J45" s="493"/>
      <c r="K45" s="455"/>
      <c r="L45" s="455"/>
      <c r="M45" s="494"/>
      <c r="N45" s="569"/>
      <c r="P45" s="381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3"/>
    </row>
    <row r="46" spans="2:29" s="613" customFormat="1" ht="18.75" customHeight="1">
      <c r="B46" s="606"/>
      <c r="C46" s="607" t="s">
        <v>867</v>
      </c>
      <c r="D46" s="608"/>
      <c r="E46" s="609">
        <f>+E47+E48</f>
        <v>5977025.3588785045</v>
      </c>
      <c r="F46" s="609">
        <f>+F47+F48</f>
        <v>418391.77512149536</v>
      </c>
      <c r="G46" s="610"/>
      <c r="H46" s="609">
        <f>+H47+H48</f>
        <v>15256844.97761</v>
      </c>
      <c r="I46" s="609">
        <f>+I47+I48</f>
        <v>991694.9235446501</v>
      </c>
      <c r="J46" s="610"/>
      <c r="K46" s="609">
        <f>+K47+K48</f>
        <v>18327421.70324425</v>
      </c>
      <c r="L46" s="609">
        <f>+L47+L48</f>
        <v>1191282.410710876</v>
      </c>
      <c r="M46" s="611"/>
      <c r="N46" s="612"/>
      <c r="P46" s="554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6"/>
    </row>
    <row r="47" spans="2:29" s="599" customFormat="1" ht="18.75" customHeight="1">
      <c r="B47" s="593"/>
      <c r="C47" s="727"/>
      <c r="D47" s="728" t="s">
        <v>868</v>
      </c>
      <c r="E47" s="427">
        <v>762636.09</v>
      </c>
      <c r="F47" s="427">
        <v>53384.526300000005</v>
      </c>
      <c r="G47" s="729"/>
      <c r="H47" s="427">
        <v>10537041.020000001</v>
      </c>
      <c r="I47" s="427">
        <v>684907.6663000002</v>
      </c>
      <c r="J47" s="729"/>
      <c r="K47" s="427">
        <v>13425866.530000001</v>
      </c>
      <c r="L47" s="427">
        <v>872681.3244500001</v>
      </c>
      <c r="M47" s="730"/>
      <c r="N47" s="634"/>
      <c r="P47" s="743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5"/>
    </row>
    <row r="48" spans="2:29" s="599" customFormat="1" ht="18.75" customHeight="1">
      <c r="B48" s="593"/>
      <c r="C48" s="746"/>
      <c r="D48" s="747" t="s">
        <v>869</v>
      </c>
      <c r="E48" s="748">
        <v>5214389.268878505</v>
      </c>
      <c r="F48" s="427">
        <v>365007.24882149533</v>
      </c>
      <c r="G48" s="749"/>
      <c r="H48" s="748">
        <v>4719803.957609999</v>
      </c>
      <c r="I48" s="748">
        <v>306787.2572446499</v>
      </c>
      <c r="J48" s="749"/>
      <c r="K48" s="748">
        <f>4824558.81324425+150000-532980.14-95023.5+475000+80000</f>
        <v>4901555.17324425</v>
      </c>
      <c r="L48" s="748">
        <f>282526.086260876+(475000*6.5%)+(80000*6.5%)</f>
        <v>318601.086260876</v>
      </c>
      <c r="M48" s="750"/>
      <c r="N48" s="634"/>
      <c r="P48" s="743"/>
      <c r="Q48" s="744"/>
      <c r="R48" s="744"/>
      <c r="S48" s="744"/>
      <c r="T48" s="744"/>
      <c r="U48" s="744"/>
      <c r="V48" s="744"/>
      <c r="W48" s="744"/>
      <c r="X48" s="744"/>
      <c r="Y48" s="744"/>
      <c r="Z48" s="744"/>
      <c r="AA48" s="744"/>
      <c r="AB48" s="744"/>
      <c r="AC48" s="745"/>
    </row>
    <row r="49" spans="2:29" s="599" customFormat="1" ht="22.5" customHeight="1" thickBot="1">
      <c r="B49" s="593"/>
      <c r="C49" s="614" t="s">
        <v>870</v>
      </c>
      <c r="D49" s="615"/>
      <c r="E49" s="616">
        <f>E16+E19+E36</f>
        <v>8484441.7</v>
      </c>
      <c r="F49" s="616">
        <f>F16+F19+F36</f>
        <v>593528.1247</v>
      </c>
      <c r="G49" s="617"/>
      <c r="H49" s="616">
        <f>H16+H19+H36</f>
        <v>17675604.59</v>
      </c>
      <c r="I49" s="616">
        <f>I16+I19+I36</f>
        <v>1148614.4579000003</v>
      </c>
      <c r="J49" s="617"/>
      <c r="K49" s="616">
        <f>K16+K19+K36</f>
        <v>20902113.97</v>
      </c>
      <c r="L49" s="616">
        <f>L16+L19+L36</f>
        <v>1358337.56695</v>
      </c>
      <c r="M49" s="618"/>
      <c r="N49" s="569"/>
      <c r="P49" s="381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3"/>
    </row>
    <row r="50" spans="2:29" s="602" customFormat="1" ht="22.5" customHeight="1">
      <c r="B50" s="571"/>
      <c r="C50" s="619"/>
      <c r="D50" s="619"/>
      <c r="E50" s="620"/>
      <c r="F50" s="620"/>
      <c r="G50" s="620"/>
      <c r="H50" s="620"/>
      <c r="I50" s="620"/>
      <c r="J50" s="620"/>
      <c r="K50" s="620"/>
      <c r="L50" s="620"/>
      <c r="M50" s="620"/>
      <c r="N50" s="569"/>
      <c r="P50" s="381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3"/>
    </row>
    <row r="51" spans="2:29" s="587" customFormat="1" ht="22.5" customHeight="1">
      <c r="B51" s="580"/>
      <c r="C51" s="581"/>
      <c r="D51" s="582"/>
      <c r="E51" s="621" t="s">
        <v>392</v>
      </c>
      <c r="F51" s="621" t="s">
        <v>393</v>
      </c>
      <c r="G51" s="621" t="s">
        <v>394</v>
      </c>
      <c r="H51" s="1302" t="s">
        <v>796</v>
      </c>
      <c r="I51" s="1303"/>
      <c r="J51" s="1303"/>
      <c r="K51" s="1303"/>
      <c r="L51" s="1303"/>
      <c r="M51" s="1304"/>
      <c r="N51" s="569"/>
      <c r="P51" s="381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3"/>
    </row>
    <row r="52" spans="2:29" s="592" customFormat="1" ht="22.5" customHeight="1">
      <c r="B52" s="588"/>
      <c r="C52" s="589" t="s">
        <v>871</v>
      </c>
      <c r="D52" s="590"/>
      <c r="E52" s="622">
        <f>ejercicio-2</f>
        <v>2018</v>
      </c>
      <c r="F52" s="622">
        <f>ejercicio-1</f>
        <v>2019</v>
      </c>
      <c r="G52" s="622">
        <f>ejercicio</f>
        <v>2020</v>
      </c>
      <c r="H52" s="1305"/>
      <c r="I52" s="1306"/>
      <c r="J52" s="1306"/>
      <c r="K52" s="1306"/>
      <c r="L52" s="1306"/>
      <c r="M52" s="1307"/>
      <c r="N52" s="569"/>
      <c r="P52" s="381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3"/>
    </row>
    <row r="53" spans="2:29" s="602" customFormat="1" ht="22.5" customHeight="1" thickBot="1">
      <c r="B53" s="571"/>
      <c r="C53" s="614" t="s">
        <v>1162</v>
      </c>
      <c r="D53" s="615"/>
      <c r="E53" s="616">
        <f>E54+E58</f>
        <v>0</v>
      </c>
      <c r="F53" s="616">
        <f>F54+F58</f>
        <v>0</v>
      </c>
      <c r="G53" s="616">
        <f>G54+G58</f>
        <v>0</v>
      </c>
      <c r="H53" s="623"/>
      <c r="I53" s="624"/>
      <c r="J53" s="624"/>
      <c r="K53" s="624"/>
      <c r="L53" s="624"/>
      <c r="M53" s="625"/>
      <c r="N53" s="569"/>
      <c r="P53" s="381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3"/>
    </row>
    <row r="54" spans="2:29" s="602" customFormat="1" ht="19.5" customHeight="1">
      <c r="B54" s="571"/>
      <c r="C54" s="1185" t="s">
        <v>151</v>
      </c>
      <c r="D54" s="1186"/>
      <c r="E54" s="1187">
        <f>SUM(E55:E57)</f>
        <v>0</v>
      </c>
      <c r="F54" s="1187">
        <f>SUM(F55:F57)</f>
        <v>0</v>
      </c>
      <c r="G54" s="1187">
        <f>SUM(G55:G57)</f>
        <v>0</v>
      </c>
      <c r="H54" s="1188"/>
      <c r="I54" s="1189"/>
      <c r="J54" s="1189"/>
      <c r="K54" s="1189"/>
      <c r="L54" s="1189"/>
      <c r="M54" s="1190"/>
      <c r="N54" s="569"/>
      <c r="P54" s="381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3"/>
    </row>
    <row r="55" spans="2:29" s="602" customFormat="1" ht="19.5" customHeight="1">
      <c r="B55" s="571"/>
      <c r="C55" s="504"/>
      <c r="D55" s="505"/>
      <c r="E55" s="525"/>
      <c r="F55" s="525"/>
      <c r="G55" s="525"/>
      <c r="H55" s="483"/>
      <c r="I55" s="645"/>
      <c r="J55" s="645"/>
      <c r="K55" s="645"/>
      <c r="L55" s="645"/>
      <c r="M55" s="443"/>
      <c r="N55" s="569"/>
      <c r="P55" s="381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3"/>
    </row>
    <row r="56" spans="2:29" s="602" customFormat="1" ht="19.5" customHeight="1">
      <c r="B56" s="571"/>
      <c r="C56" s="504"/>
      <c r="D56" s="505"/>
      <c r="E56" s="525"/>
      <c r="F56" s="525"/>
      <c r="G56" s="525"/>
      <c r="H56" s="483"/>
      <c r="I56" s="645"/>
      <c r="J56" s="645"/>
      <c r="K56" s="645"/>
      <c r="L56" s="645"/>
      <c r="M56" s="443"/>
      <c r="N56" s="569"/>
      <c r="P56" s="381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3"/>
    </row>
    <row r="57" spans="2:29" s="602" customFormat="1" ht="19.5" customHeight="1">
      <c r="B57" s="571"/>
      <c r="C57" s="504"/>
      <c r="D57" s="505"/>
      <c r="E57" s="525"/>
      <c r="F57" s="525"/>
      <c r="G57" s="525"/>
      <c r="H57" s="483"/>
      <c r="I57" s="645"/>
      <c r="J57" s="645"/>
      <c r="K57" s="645"/>
      <c r="L57" s="645"/>
      <c r="M57" s="443"/>
      <c r="N57" s="569"/>
      <c r="P57" s="381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3"/>
    </row>
    <row r="58" spans="2:29" s="602" customFormat="1" ht="19.5" customHeight="1">
      <c r="B58" s="571"/>
      <c r="C58" s="738" t="s">
        <v>152</v>
      </c>
      <c r="D58" s="605"/>
      <c r="E58" s="1191">
        <f>SUM(E59:E61)</f>
        <v>0</v>
      </c>
      <c r="F58" s="1191">
        <f>SUM(F59:F61)</f>
        <v>0</v>
      </c>
      <c r="G58" s="1191">
        <f>SUM(G59:G61)</f>
        <v>0</v>
      </c>
      <c r="H58" s="1192"/>
      <c r="I58" s="1193"/>
      <c r="J58" s="1193"/>
      <c r="K58" s="1193"/>
      <c r="L58" s="1193"/>
      <c r="M58" s="1194"/>
      <c r="N58" s="569"/>
      <c r="P58" s="381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3"/>
    </row>
    <row r="59" spans="2:29" s="602" customFormat="1" ht="19.5" customHeight="1">
      <c r="B59" s="571"/>
      <c r="C59" s="504"/>
      <c r="D59" s="505"/>
      <c r="E59" s="525"/>
      <c r="F59" s="525"/>
      <c r="G59" s="525"/>
      <c r="H59" s="483"/>
      <c r="I59" s="645"/>
      <c r="J59" s="645"/>
      <c r="K59" s="645"/>
      <c r="L59" s="645"/>
      <c r="M59" s="443"/>
      <c r="N59" s="569"/>
      <c r="P59" s="381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3"/>
    </row>
    <row r="60" spans="2:29" s="602" customFormat="1" ht="19.5" customHeight="1">
      <c r="B60" s="571"/>
      <c r="C60" s="504"/>
      <c r="D60" s="505"/>
      <c r="E60" s="525"/>
      <c r="F60" s="525"/>
      <c r="G60" s="525"/>
      <c r="H60" s="483"/>
      <c r="I60" s="645"/>
      <c r="J60" s="645"/>
      <c r="K60" s="645"/>
      <c r="L60" s="645"/>
      <c r="M60" s="443"/>
      <c r="N60" s="569"/>
      <c r="P60" s="381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3"/>
    </row>
    <row r="61" spans="2:29" s="602" customFormat="1" ht="19.5" customHeight="1">
      <c r="B61" s="571"/>
      <c r="C61" s="506"/>
      <c r="D61" s="507"/>
      <c r="E61" s="526"/>
      <c r="F61" s="526"/>
      <c r="G61" s="526"/>
      <c r="H61" s="481"/>
      <c r="I61" s="475"/>
      <c r="J61" s="475"/>
      <c r="K61" s="475"/>
      <c r="L61" s="475"/>
      <c r="M61" s="482"/>
      <c r="N61" s="569"/>
      <c r="P61" s="381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3"/>
    </row>
    <row r="62" spans="2:29" s="602" customFormat="1" ht="22.5" customHeight="1" thickBot="1">
      <c r="B62" s="571"/>
      <c r="C62" s="614" t="s">
        <v>1163</v>
      </c>
      <c r="D62" s="615"/>
      <c r="E62" s="616">
        <f>E63+E71</f>
        <v>-601.14</v>
      </c>
      <c r="F62" s="616">
        <f>F63+F71</f>
        <v>-5924.45</v>
      </c>
      <c r="G62" s="616">
        <f>G63+G71</f>
        <v>0</v>
      </c>
      <c r="H62" s="623"/>
      <c r="I62" s="624"/>
      <c r="J62" s="624"/>
      <c r="K62" s="624"/>
      <c r="L62" s="624"/>
      <c r="M62" s="625"/>
      <c r="N62" s="569"/>
      <c r="P62" s="381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3"/>
    </row>
    <row r="63" spans="2:29" s="602" customFormat="1" ht="19.5" customHeight="1">
      <c r="B63" s="571"/>
      <c r="C63" s="1185" t="s">
        <v>153</v>
      </c>
      <c r="D63" s="1186"/>
      <c r="E63" s="1187">
        <f>SUM(E64:E70)</f>
        <v>-601.14</v>
      </c>
      <c r="F63" s="1187">
        <f>SUM(F64:F70)</f>
        <v>-5924.45</v>
      </c>
      <c r="G63" s="1187">
        <f>SUM(G64:G70)</f>
        <v>0</v>
      </c>
      <c r="H63" s="1188"/>
      <c r="I63" s="1189"/>
      <c r="J63" s="1189"/>
      <c r="K63" s="1189"/>
      <c r="L63" s="1189"/>
      <c r="M63" s="1190"/>
      <c r="N63" s="569"/>
      <c r="P63" s="381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3"/>
    </row>
    <row r="64" spans="2:29" s="602" customFormat="1" ht="19.5" customHeight="1">
      <c r="B64" s="571"/>
      <c r="C64" s="1153" t="s">
        <v>1015</v>
      </c>
      <c r="D64" s="505"/>
      <c r="E64" s="525">
        <v>-93.03</v>
      </c>
      <c r="F64" s="525"/>
      <c r="G64" s="525"/>
      <c r="H64" s="483"/>
      <c r="I64" s="645"/>
      <c r="J64" s="645"/>
      <c r="K64" s="645"/>
      <c r="L64" s="645"/>
      <c r="M64" s="443"/>
      <c r="N64" s="569"/>
      <c r="P64" s="381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3"/>
    </row>
    <row r="65" spans="2:29" s="602" customFormat="1" ht="19.5" customHeight="1">
      <c r="B65" s="571"/>
      <c r="C65" s="1153" t="s">
        <v>1016</v>
      </c>
      <c r="D65" s="505"/>
      <c r="E65" s="525">
        <v>-37.55</v>
      </c>
      <c r="F65" s="525"/>
      <c r="G65" s="525"/>
      <c r="H65" s="483"/>
      <c r="I65" s="645"/>
      <c r="J65" s="645"/>
      <c r="K65" s="645"/>
      <c r="L65" s="645"/>
      <c r="M65" s="443"/>
      <c r="N65" s="569"/>
      <c r="P65" s="381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3"/>
    </row>
    <row r="66" spans="2:29" s="602" customFormat="1" ht="19.5" customHeight="1">
      <c r="B66" s="571"/>
      <c r="C66" s="1153" t="s">
        <v>1017</v>
      </c>
      <c r="D66" s="505"/>
      <c r="E66" s="525">
        <v>-470.56</v>
      </c>
      <c r="F66" s="525"/>
      <c r="G66" s="525"/>
      <c r="H66" s="483"/>
      <c r="I66" s="645"/>
      <c r="J66" s="645"/>
      <c r="K66" s="645"/>
      <c r="L66" s="645"/>
      <c r="M66" s="443"/>
      <c r="N66" s="569"/>
      <c r="P66" s="381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3"/>
    </row>
    <row r="67" spans="2:29" s="602" customFormat="1" ht="19.5" customHeight="1">
      <c r="B67" s="571"/>
      <c r="C67" s="1153" t="s">
        <v>1019</v>
      </c>
      <c r="D67" s="505"/>
      <c r="E67" s="525"/>
      <c r="F67" s="525">
        <v>-143</v>
      </c>
      <c r="G67" s="525"/>
      <c r="H67" s="483"/>
      <c r="I67" s="645"/>
      <c r="J67" s="645"/>
      <c r="K67" s="645"/>
      <c r="L67" s="645"/>
      <c r="M67" s="443"/>
      <c r="N67" s="569"/>
      <c r="P67" s="381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3"/>
    </row>
    <row r="68" spans="2:29" s="602" customFormat="1" ht="19.5" customHeight="1">
      <c r="B68" s="571"/>
      <c r="C68" s="1153" t="s">
        <v>1020</v>
      </c>
      <c r="D68" s="505"/>
      <c r="E68" s="525"/>
      <c r="F68" s="525">
        <v>-2188</v>
      </c>
      <c r="G68" s="525"/>
      <c r="H68" s="483"/>
      <c r="I68" s="645"/>
      <c r="J68" s="645"/>
      <c r="K68" s="645"/>
      <c r="L68" s="645"/>
      <c r="M68" s="443"/>
      <c r="N68" s="569"/>
      <c r="P68" s="381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3"/>
    </row>
    <row r="69" spans="2:29" s="602" customFormat="1" ht="19.5" customHeight="1">
      <c r="B69" s="571"/>
      <c r="C69" s="1153" t="s">
        <v>1021</v>
      </c>
      <c r="D69" s="505"/>
      <c r="E69" s="525"/>
      <c r="F69" s="525">
        <v>-720</v>
      </c>
      <c r="G69" s="525"/>
      <c r="H69" s="483"/>
      <c r="I69" s="645"/>
      <c r="J69" s="645"/>
      <c r="K69" s="645"/>
      <c r="L69" s="645"/>
      <c r="M69" s="443"/>
      <c r="N69" s="569"/>
      <c r="P69" s="381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3"/>
    </row>
    <row r="70" spans="2:29" s="602" customFormat="1" ht="19.5" customHeight="1">
      <c r="B70" s="571"/>
      <c r="C70" s="1153" t="s">
        <v>1018</v>
      </c>
      <c r="D70" s="505"/>
      <c r="E70" s="525"/>
      <c r="F70" s="525">
        <v>-2873.45</v>
      </c>
      <c r="G70" s="525"/>
      <c r="H70" s="483"/>
      <c r="I70" s="645"/>
      <c r="J70" s="645"/>
      <c r="K70" s="645"/>
      <c r="L70" s="645"/>
      <c r="M70" s="443"/>
      <c r="N70" s="569"/>
      <c r="P70" s="381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3"/>
    </row>
    <row r="71" spans="2:29" s="602" customFormat="1" ht="19.5" customHeight="1">
      <c r="B71" s="571"/>
      <c r="C71" s="738" t="s">
        <v>154</v>
      </c>
      <c r="D71" s="605"/>
      <c r="E71" s="1191">
        <f>SUM(E72:E74)</f>
        <v>0</v>
      </c>
      <c r="F71" s="1191">
        <f>SUM(F72:F74)</f>
        <v>0</v>
      </c>
      <c r="G71" s="1191">
        <f>SUM(G72:G74)</f>
        <v>0</v>
      </c>
      <c r="H71" s="1192"/>
      <c r="I71" s="1193"/>
      <c r="J71" s="1193"/>
      <c r="K71" s="1193"/>
      <c r="L71" s="1193"/>
      <c r="M71" s="1194"/>
      <c r="N71" s="569"/>
      <c r="P71" s="381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3"/>
    </row>
    <row r="72" spans="2:29" s="602" customFormat="1" ht="19.5" customHeight="1">
      <c r="B72" s="571"/>
      <c r="C72" s="504"/>
      <c r="D72" s="505"/>
      <c r="E72" s="525"/>
      <c r="F72" s="525"/>
      <c r="G72" s="525"/>
      <c r="H72" s="483"/>
      <c r="I72" s="645"/>
      <c r="J72" s="645"/>
      <c r="K72" s="645"/>
      <c r="L72" s="645"/>
      <c r="M72" s="443"/>
      <c r="N72" s="569"/>
      <c r="P72" s="381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83"/>
    </row>
    <row r="73" spans="2:29" s="602" customFormat="1" ht="19.5" customHeight="1">
      <c r="B73" s="571"/>
      <c r="C73" s="504"/>
      <c r="D73" s="505"/>
      <c r="E73" s="525"/>
      <c r="F73" s="525"/>
      <c r="G73" s="525"/>
      <c r="H73" s="483"/>
      <c r="I73" s="645"/>
      <c r="J73" s="645"/>
      <c r="K73" s="645"/>
      <c r="L73" s="645"/>
      <c r="M73" s="443"/>
      <c r="N73" s="569"/>
      <c r="P73" s="381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3"/>
    </row>
    <row r="74" spans="2:29" s="602" customFormat="1" ht="19.5" customHeight="1">
      <c r="B74" s="571"/>
      <c r="C74" s="506"/>
      <c r="D74" s="507"/>
      <c r="E74" s="526"/>
      <c r="F74" s="526"/>
      <c r="G74" s="526"/>
      <c r="H74" s="481"/>
      <c r="I74" s="475"/>
      <c r="J74" s="475"/>
      <c r="K74" s="475"/>
      <c r="L74" s="475"/>
      <c r="M74" s="482"/>
      <c r="N74" s="569"/>
      <c r="P74" s="381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3"/>
    </row>
    <row r="75" spans="2:29" s="602" customFormat="1" ht="22.5" customHeight="1">
      <c r="B75" s="571"/>
      <c r="C75" s="619"/>
      <c r="D75" s="619"/>
      <c r="E75" s="620"/>
      <c r="F75" s="620"/>
      <c r="G75" s="620"/>
      <c r="H75" s="620"/>
      <c r="I75" s="620"/>
      <c r="J75" s="620"/>
      <c r="K75" s="620"/>
      <c r="L75" s="620"/>
      <c r="M75" s="620"/>
      <c r="N75" s="569"/>
      <c r="P75" s="381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3"/>
    </row>
    <row r="76" spans="2:29" s="602" customFormat="1" ht="22.5" customHeight="1">
      <c r="B76" s="571"/>
      <c r="C76" s="581"/>
      <c r="D76" s="582"/>
      <c r="E76" s="621" t="s">
        <v>392</v>
      </c>
      <c r="F76" s="621" t="s">
        <v>393</v>
      </c>
      <c r="G76" s="621" t="s">
        <v>394</v>
      </c>
      <c r="H76" s="1302" t="s">
        <v>796</v>
      </c>
      <c r="I76" s="1303"/>
      <c r="J76" s="1303"/>
      <c r="K76" s="1303"/>
      <c r="L76" s="1303"/>
      <c r="M76" s="1304"/>
      <c r="N76" s="569"/>
      <c r="P76" s="381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3"/>
    </row>
    <row r="77" spans="2:29" s="602" customFormat="1" ht="22.5" customHeight="1">
      <c r="B77" s="571"/>
      <c r="C77" s="589" t="s">
        <v>872</v>
      </c>
      <c r="D77" s="590"/>
      <c r="E77" s="622">
        <f>ejercicio-2</f>
        <v>2018</v>
      </c>
      <c r="F77" s="622">
        <f>ejercicio-1</f>
        <v>2019</v>
      </c>
      <c r="G77" s="622">
        <f>ejercicio</f>
        <v>2020</v>
      </c>
      <c r="H77" s="1305"/>
      <c r="I77" s="1306"/>
      <c r="J77" s="1306"/>
      <c r="K77" s="1306"/>
      <c r="L77" s="1306"/>
      <c r="M77" s="1307"/>
      <c r="N77" s="569"/>
      <c r="P77" s="381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3"/>
    </row>
    <row r="78" spans="2:29" s="602" customFormat="1" ht="22.5" customHeight="1">
      <c r="B78" s="571"/>
      <c r="C78" s="600" t="s">
        <v>873</v>
      </c>
      <c r="D78" s="601"/>
      <c r="E78" s="455">
        <v>1420062.05</v>
      </c>
      <c r="F78" s="455">
        <v>2298630.49</v>
      </c>
      <c r="G78" s="751">
        <v>2150000</v>
      </c>
      <c r="H78" s="646"/>
      <c r="I78" s="647"/>
      <c r="J78" s="647"/>
      <c r="K78" s="647"/>
      <c r="L78" s="647"/>
      <c r="M78" s="456"/>
      <c r="N78" s="569"/>
      <c r="P78" s="381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3"/>
    </row>
    <row r="79" spans="2:29" s="602" customFormat="1" ht="22.5" customHeight="1">
      <c r="B79" s="571"/>
      <c r="C79" s="603" t="s">
        <v>874</v>
      </c>
      <c r="D79" s="604"/>
      <c r="E79" s="460">
        <v>-1594483.53</v>
      </c>
      <c r="F79" s="455">
        <v>-1420062.05</v>
      </c>
      <c r="G79" s="526">
        <f>-F78</f>
        <v>-2298630.49</v>
      </c>
      <c r="H79" s="481"/>
      <c r="I79" s="475"/>
      <c r="J79" s="475"/>
      <c r="K79" s="475"/>
      <c r="L79" s="475"/>
      <c r="M79" s="482"/>
      <c r="N79" s="569"/>
      <c r="P79" s="381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3"/>
    </row>
    <row r="80" spans="2:29" s="602" customFormat="1" ht="22.5" customHeight="1">
      <c r="B80" s="571"/>
      <c r="C80" s="619"/>
      <c r="D80" s="619"/>
      <c r="E80" s="620"/>
      <c r="F80" s="620"/>
      <c r="G80" s="620"/>
      <c r="H80" s="620"/>
      <c r="I80" s="620"/>
      <c r="J80" s="620"/>
      <c r="K80" s="620"/>
      <c r="L80" s="620"/>
      <c r="M80" s="620"/>
      <c r="N80" s="569"/>
      <c r="P80" s="381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3"/>
    </row>
    <row r="81" spans="2:29" s="602" customFormat="1" ht="22.5" customHeight="1">
      <c r="B81" s="571"/>
      <c r="C81" s="581"/>
      <c r="D81" s="582"/>
      <c r="E81" s="621" t="s">
        <v>392</v>
      </c>
      <c r="F81" s="621" t="s">
        <v>393</v>
      </c>
      <c r="G81" s="621" t="s">
        <v>394</v>
      </c>
      <c r="H81" s="1302" t="s">
        <v>796</v>
      </c>
      <c r="I81" s="1303"/>
      <c r="J81" s="1303"/>
      <c r="K81" s="1303"/>
      <c r="L81" s="1303"/>
      <c r="M81" s="1304"/>
      <c r="N81" s="569"/>
      <c r="P81" s="381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3"/>
    </row>
    <row r="82" spans="2:29" s="602" customFormat="1" ht="22.5" customHeight="1">
      <c r="B82" s="571"/>
      <c r="C82" s="589" t="s">
        <v>908</v>
      </c>
      <c r="D82" s="590"/>
      <c r="E82" s="622">
        <f>ejercicio-2</f>
        <v>2018</v>
      </c>
      <c r="F82" s="622">
        <f>ejercicio-1</f>
        <v>2019</v>
      </c>
      <c r="G82" s="622">
        <f>ejercicio</f>
        <v>2020</v>
      </c>
      <c r="H82" s="1305"/>
      <c r="I82" s="1306"/>
      <c r="J82" s="1306"/>
      <c r="K82" s="1306"/>
      <c r="L82" s="1306"/>
      <c r="M82" s="1307"/>
      <c r="N82" s="569"/>
      <c r="P82" s="381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3"/>
    </row>
    <row r="83" spans="2:29" s="602" customFormat="1" ht="22.5" customHeight="1">
      <c r="B83" s="571"/>
      <c r="C83" s="594" t="s">
        <v>909</v>
      </c>
      <c r="D83" s="595"/>
      <c r="E83" s="596">
        <f>SUM(E84:E86)</f>
        <v>5940.6</v>
      </c>
      <c r="F83" s="596">
        <f>SUM(F84:F86)</f>
        <v>1033.47</v>
      </c>
      <c r="G83" s="596">
        <f>SUM(G84:G86)</f>
        <v>0</v>
      </c>
      <c r="H83" s="626"/>
      <c r="I83" s="627"/>
      <c r="J83" s="627"/>
      <c r="K83" s="627"/>
      <c r="L83" s="627"/>
      <c r="M83" s="628"/>
      <c r="N83" s="569"/>
      <c r="P83" s="381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3"/>
    </row>
    <row r="84" spans="2:29" s="602" customFormat="1" ht="22.5" customHeight="1">
      <c r="B84" s="571"/>
      <c r="C84" s="629" t="s">
        <v>910</v>
      </c>
      <c r="D84" s="630"/>
      <c r="E84" s="457"/>
      <c r="F84" s="457"/>
      <c r="G84" s="457"/>
      <c r="H84" s="479"/>
      <c r="I84" s="474"/>
      <c r="J84" s="474"/>
      <c r="K84" s="474"/>
      <c r="L84" s="474"/>
      <c r="M84" s="480"/>
      <c r="N84" s="569"/>
      <c r="P84" s="381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3"/>
    </row>
    <row r="85" spans="2:29" s="602" customFormat="1" ht="22.5" customHeight="1">
      <c r="B85" s="571"/>
      <c r="C85" s="631" t="s">
        <v>911</v>
      </c>
      <c r="D85" s="605"/>
      <c r="E85" s="458"/>
      <c r="F85" s="458"/>
      <c r="G85" s="458"/>
      <c r="H85" s="483"/>
      <c r="I85" s="645"/>
      <c r="J85" s="645"/>
      <c r="K85" s="645"/>
      <c r="L85" s="645"/>
      <c r="M85" s="443"/>
      <c r="N85" s="569"/>
      <c r="P85" s="381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3"/>
    </row>
    <row r="86" spans="2:29" s="602" customFormat="1" ht="22.5" customHeight="1">
      <c r="B86" s="571"/>
      <c r="C86" s="632" t="s">
        <v>912</v>
      </c>
      <c r="D86" s="633"/>
      <c r="E86" s="459">
        <v>5940.6</v>
      </c>
      <c r="F86" s="459">
        <v>1033.47</v>
      </c>
      <c r="G86" s="459"/>
      <c r="H86" s="648"/>
      <c r="I86" s="649"/>
      <c r="J86" s="649"/>
      <c r="K86" s="649"/>
      <c r="L86" s="649"/>
      <c r="M86" s="444"/>
      <c r="N86" s="569"/>
      <c r="P86" s="381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2"/>
      <c r="AC86" s="383"/>
    </row>
    <row r="87" spans="2:29" s="599" customFormat="1" ht="22.5" customHeight="1">
      <c r="B87" s="593"/>
      <c r="C87" s="594" t="s">
        <v>918</v>
      </c>
      <c r="D87" s="595"/>
      <c r="E87" s="596">
        <f>SUM(E88:E93)</f>
        <v>3056601.26</v>
      </c>
      <c r="F87" s="596">
        <f>SUM(F88:F93)</f>
        <v>3337270.5500000003</v>
      </c>
      <c r="G87" s="596">
        <f>SUM(G88:G93)</f>
        <v>1481479.82</v>
      </c>
      <c r="H87" s="626"/>
      <c r="I87" s="627"/>
      <c r="J87" s="627"/>
      <c r="K87" s="627"/>
      <c r="L87" s="627"/>
      <c r="M87" s="628"/>
      <c r="N87" s="634"/>
      <c r="P87" s="381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3"/>
    </row>
    <row r="88" spans="2:29" s="602" customFormat="1" ht="22.5" customHeight="1">
      <c r="B88" s="571"/>
      <c r="C88" s="629" t="s">
        <v>913</v>
      </c>
      <c r="D88" s="630"/>
      <c r="E88" s="523">
        <v>449061.65</v>
      </c>
      <c r="F88" s="523">
        <v>754279.66</v>
      </c>
      <c r="G88" s="523">
        <v>509332.03</v>
      </c>
      <c r="H88" s="479"/>
      <c r="I88" s="474"/>
      <c r="J88" s="474"/>
      <c r="K88" s="474"/>
      <c r="L88" s="474"/>
      <c r="M88" s="480"/>
      <c r="N88" s="569"/>
      <c r="P88" s="381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3"/>
    </row>
    <row r="89" spans="2:29" s="602" customFormat="1" ht="22.5" customHeight="1">
      <c r="B89" s="571"/>
      <c r="C89" s="631" t="s">
        <v>914</v>
      </c>
      <c r="D89" s="605"/>
      <c r="E89" s="525"/>
      <c r="F89" s="525"/>
      <c r="G89" s="525"/>
      <c r="H89" s="483"/>
      <c r="I89" s="645"/>
      <c r="J89" s="645"/>
      <c r="K89" s="645"/>
      <c r="L89" s="645"/>
      <c r="M89" s="443"/>
      <c r="N89" s="569"/>
      <c r="P89" s="381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3"/>
    </row>
    <row r="90" spans="2:29" s="602" customFormat="1" ht="22.5" customHeight="1">
      <c r="B90" s="571"/>
      <c r="C90" s="631" t="s">
        <v>915</v>
      </c>
      <c r="D90" s="605"/>
      <c r="E90" s="525"/>
      <c r="F90" s="525"/>
      <c r="G90" s="525"/>
      <c r="H90" s="483"/>
      <c r="I90" s="645"/>
      <c r="J90" s="645"/>
      <c r="K90" s="645"/>
      <c r="L90" s="645"/>
      <c r="M90" s="443"/>
      <c r="N90" s="569"/>
      <c r="P90" s="381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3"/>
    </row>
    <row r="91" spans="2:29" s="602" customFormat="1" ht="22.5" customHeight="1">
      <c r="B91" s="571"/>
      <c r="C91" s="631" t="s">
        <v>916</v>
      </c>
      <c r="D91" s="605"/>
      <c r="E91" s="525">
        <v>2174375.39</v>
      </c>
      <c r="F91" s="525">
        <v>2363390</v>
      </c>
      <c r="G91" s="525">
        <f>475000+439000+80000-475000-80000</f>
        <v>439000</v>
      </c>
      <c r="H91" s="483"/>
      <c r="I91" s="645"/>
      <c r="J91" s="645"/>
      <c r="K91" s="645"/>
      <c r="L91" s="645"/>
      <c r="M91" s="443"/>
      <c r="N91" s="569"/>
      <c r="P91" s="381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3"/>
    </row>
    <row r="92" spans="2:29" s="602" customFormat="1" ht="22.5" customHeight="1">
      <c r="B92" s="571"/>
      <c r="C92" s="635" t="s">
        <v>935</v>
      </c>
      <c r="D92" s="605"/>
      <c r="E92" s="525">
        <v>433164.22</v>
      </c>
      <c r="F92" s="525">
        <v>219600.89</v>
      </c>
      <c r="G92" s="525">
        <v>533147.79</v>
      </c>
      <c r="H92" s="483"/>
      <c r="I92" s="645"/>
      <c r="J92" s="645"/>
      <c r="K92" s="645"/>
      <c r="L92" s="645"/>
      <c r="M92" s="443"/>
      <c r="N92" s="569"/>
      <c r="P92" s="381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3"/>
    </row>
    <row r="93" spans="2:29" s="602" customFormat="1" ht="22.5" customHeight="1">
      <c r="B93" s="571"/>
      <c r="C93" s="603" t="s">
        <v>917</v>
      </c>
      <c r="D93" s="604"/>
      <c r="E93" s="526"/>
      <c r="F93" s="526"/>
      <c r="G93" s="526"/>
      <c r="H93" s="481"/>
      <c r="I93" s="475"/>
      <c r="J93" s="475"/>
      <c r="K93" s="475"/>
      <c r="L93" s="475"/>
      <c r="M93" s="482"/>
      <c r="N93" s="569"/>
      <c r="P93" s="381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3"/>
    </row>
    <row r="94" spans="2:29" s="602" customFormat="1" ht="22.5" customHeight="1">
      <c r="B94" s="571"/>
      <c r="C94" s="619"/>
      <c r="D94" s="619"/>
      <c r="E94" s="620"/>
      <c r="F94" s="620"/>
      <c r="G94" s="620"/>
      <c r="H94" s="620"/>
      <c r="I94" s="620"/>
      <c r="J94" s="620"/>
      <c r="K94" s="620"/>
      <c r="L94" s="620"/>
      <c r="M94" s="620"/>
      <c r="N94" s="569"/>
      <c r="P94" s="381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3"/>
    </row>
    <row r="95" spans="2:29" s="602" customFormat="1" ht="22.5" customHeight="1">
      <c r="B95" s="571"/>
      <c r="C95" s="1310" t="s">
        <v>952</v>
      </c>
      <c r="D95" s="1311"/>
      <c r="E95" s="1312"/>
      <c r="F95" s="708" t="s">
        <v>627</v>
      </c>
      <c r="G95" s="621" t="s">
        <v>394</v>
      </c>
      <c r="H95" s="1308" t="s">
        <v>796</v>
      </c>
      <c r="I95" s="1308"/>
      <c r="J95" s="1308"/>
      <c r="K95" s="1308"/>
      <c r="L95" s="1308"/>
      <c r="M95" s="1308"/>
      <c r="N95" s="569"/>
      <c r="P95" s="381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3"/>
    </row>
    <row r="96" spans="2:29" s="602" customFormat="1" ht="42.75" customHeight="1">
      <c r="B96" s="571"/>
      <c r="C96" s="1313"/>
      <c r="D96" s="1314"/>
      <c r="E96" s="1315"/>
      <c r="F96" s="709" t="s">
        <v>953</v>
      </c>
      <c r="G96" s="622">
        <f>ejercicio</f>
        <v>2020</v>
      </c>
      <c r="H96" s="1309"/>
      <c r="I96" s="1309"/>
      <c r="J96" s="1309"/>
      <c r="K96" s="1309"/>
      <c r="L96" s="1309"/>
      <c r="M96" s="1309"/>
      <c r="N96" s="569"/>
      <c r="P96" s="381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3"/>
    </row>
    <row r="97" spans="2:29" s="602" customFormat="1" ht="22.5" customHeight="1" thickBot="1">
      <c r="B97" s="571"/>
      <c r="C97" s="614" t="s">
        <v>957</v>
      </c>
      <c r="D97" s="713"/>
      <c r="E97" s="714"/>
      <c r="F97" s="616"/>
      <c r="G97" s="616">
        <f>SUM(G98:G100)</f>
        <v>0</v>
      </c>
      <c r="H97" s="623"/>
      <c r="I97" s="624"/>
      <c r="J97" s="624"/>
      <c r="K97" s="624"/>
      <c r="L97" s="624"/>
      <c r="M97" s="625"/>
      <c r="N97" s="569"/>
      <c r="P97" s="381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3"/>
    </row>
    <row r="98" spans="2:29" s="602" customFormat="1" ht="22.5" customHeight="1">
      <c r="B98" s="571"/>
      <c r="C98" s="1316" t="s">
        <v>954</v>
      </c>
      <c r="D98" s="1317"/>
      <c r="E98" s="1318"/>
      <c r="F98" s="752"/>
      <c r="G98" s="457"/>
      <c r="H98" s="715"/>
      <c r="I98" s="474"/>
      <c r="J98" s="474"/>
      <c r="K98" s="474"/>
      <c r="L98" s="474"/>
      <c r="M98" s="480"/>
      <c r="N98" s="569"/>
      <c r="P98" s="381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3"/>
    </row>
    <row r="99" spans="2:29" s="602" customFormat="1" ht="22.5" customHeight="1">
      <c r="B99" s="571"/>
      <c r="C99" s="710" t="s">
        <v>955</v>
      </c>
      <c r="D99" s="711"/>
      <c r="E99" s="712"/>
      <c r="F99" s="752"/>
      <c r="G99" s="457"/>
      <c r="H99" s="479"/>
      <c r="I99" s="474"/>
      <c r="J99" s="474"/>
      <c r="K99" s="474"/>
      <c r="L99" s="474"/>
      <c r="M99" s="480"/>
      <c r="N99" s="569"/>
      <c r="P99" s="381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3"/>
    </row>
    <row r="100" spans="2:29" s="602" customFormat="1" ht="22.5" customHeight="1">
      <c r="B100" s="571"/>
      <c r="C100" s="1319" t="s">
        <v>956</v>
      </c>
      <c r="D100" s="1320"/>
      <c r="E100" s="1321"/>
      <c r="F100" s="753"/>
      <c r="G100" s="458"/>
      <c r="H100" s="483"/>
      <c r="I100" s="645"/>
      <c r="J100" s="645"/>
      <c r="K100" s="645"/>
      <c r="L100" s="645"/>
      <c r="M100" s="443"/>
      <c r="N100" s="569"/>
      <c r="P100" s="381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3"/>
    </row>
    <row r="101" spans="2:29" s="602" customFormat="1" ht="22.5" customHeight="1">
      <c r="B101" s="571"/>
      <c r="C101" s="702"/>
      <c r="D101" s="619"/>
      <c r="E101" s="703"/>
      <c r="F101" s="703"/>
      <c r="G101" s="703"/>
      <c r="H101" s="704"/>
      <c r="I101" s="704"/>
      <c r="J101" s="704"/>
      <c r="K101" s="704"/>
      <c r="L101" s="704"/>
      <c r="M101" s="704"/>
      <c r="N101" s="569"/>
      <c r="P101" s="381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3"/>
    </row>
    <row r="102" spans="2:29" s="602" customFormat="1" ht="22.5" customHeight="1">
      <c r="B102" s="571"/>
      <c r="C102" s="705" t="s">
        <v>621</v>
      </c>
      <c r="D102" s="706"/>
      <c r="E102" s="620"/>
      <c r="F102" s="620"/>
      <c r="G102" s="620"/>
      <c r="H102" s="620"/>
      <c r="I102" s="620"/>
      <c r="J102" s="620"/>
      <c r="K102" s="620"/>
      <c r="L102" s="620"/>
      <c r="M102" s="620"/>
      <c r="N102" s="569"/>
      <c r="P102" s="381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3"/>
    </row>
    <row r="103" spans="2:29" s="602" customFormat="1" ht="22.5" customHeight="1">
      <c r="B103" s="571"/>
      <c r="C103" s="706" t="s">
        <v>50</v>
      </c>
      <c r="D103" s="706"/>
      <c r="E103" s="638"/>
      <c r="F103" s="638"/>
      <c r="G103" s="638"/>
      <c r="H103" s="638"/>
      <c r="I103" s="638"/>
      <c r="J103" s="638"/>
      <c r="K103" s="638"/>
      <c r="L103" s="638"/>
      <c r="M103" s="638"/>
      <c r="N103" s="569"/>
      <c r="P103" s="381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3"/>
    </row>
    <row r="104" spans="2:29" s="602" customFormat="1" ht="22.5" customHeight="1">
      <c r="B104" s="571"/>
      <c r="C104" s="707" t="s">
        <v>150</v>
      </c>
      <c r="D104" s="706"/>
      <c r="E104" s="638"/>
      <c r="F104" s="638"/>
      <c r="G104" s="638"/>
      <c r="H104" s="638"/>
      <c r="I104" s="638"/>
      <c r="J104" s="638"/>
      <c r="K104" s="638"/>
      <c r="L104" s="638"/>
      <c r="M104" s="638"/>
      <c r="N104" s="569"/>
      <c r="P104" s="381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3"/>
    </row>
    <row r="105" spans="2:29" s="602" customFormat="1" ht="22.5" customHeight="1">
      <c r="B105" s="571"/>
      <c r="C105" s="707" t="s">
        <v>1113</v>
      </c>
      <c r="D105" s="706"/>
      <c r="E105" s="638"/>
      <c r="F105" s="638"/>
      <c r="G105" s="638"/>
      <c r="H105" s="638"/>
      <c r="I105" s="638"/>
      <c r="J105" s="638"/>
      <c r="K105" s="638"/>
      <c r="L105" s="638"/>
      <c r="M105" s="638"/>
      <c r="N105" s="569"/>
      <c r="P105" s="381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3"/>
    </row>
    <row r="106" spans="2:29" ht="22.5" customHeight="1" thickBot="1">
      <c r="B106" s="639"/>
      <c r="C106" s="1292"/>
      <c r="D106" s="1292"/>
      <c r="E106" s="1292"/>
      <c r="F106" s="1292"/>
      <c r="G106" s="640"/>
      <c r="H106" s="640"/>
      <c r="I106" s="640"/>
      <c r="J106" s="640"/>
      <c r="K106" s="640"/>
      <c r="L106" s="640"/>
      <c r="M106" s="640"/>
      <c r="N106" s="641"/>
      <c r="P106" s="384"/>
      <c r="Q106" s="385"/>
      <c r="R106" s="385"/>
      <c r="S106" s="385"/>
      <c r="T106" s="385"/>
      <c r="U106" s="385"/>
      <c r="V106" s="385"/>
      <c r="W106" s="385"/>
      <c r="X106" s="385"/>
      <c r="Y106" s="385"/>
      <c r="Z106" s="385"/>
      <c r="AA106" s="385"/>
      <c r="AB106" s="385"/>
      <c r="AC106" s="386"/>
    </row>
    <row r="107" spans="3:15" ht="22.5" customHeight="1">
      <c r="C107" s="566"/>
      <c r="D107" s="566"/>
      <c r="E107" s="567"/>
      <c r="F107" s="567"/>
      <c r="G107" s="567"/>
      <c r="H107" s="567"/>
      <c r="I107" s="567"/>
      <c r="J107" s="567"/>
      <c r="K107" s="567"/>
      <c r="L107" s="567"/>
      <c r="M107" s="567"/>
      <c r="O107" s="557" t="s">
        <v>83</v>
      </c>
    </row>
    <row r="108" spans="3:13" ht="12.75">
      <c r="C108" s="642" t="s">
        <v>286</v>
      </c>
      <c r="D108" s="566"/>
      <c r="E108" s="567"/>
      <c r="F108" s="567"/>
      <c r="G108" s="567"/>
      <c r="H108" s="567"/>
      <c r="I108" s="567"/>
      <c r="J108" s="567"/>
      <c r="K108" s="567"/>
      <c r="L108" s="567"/>
      <c r="M108" s="643" t="s">
        <v>262</v>
      </c>
    </row>
    <row r="109" spans="3:13" ht="12.75">
      <c r="C109" s="644" t="s">
        <v>287</v>
      </c>
      <c r="D109" s="566"/>
      <c r="E109" s="567"/>
      <c r="F109" s="567"/>
      <c r="G109" s="567"/>
      <c r="H109" s="567"/>
      <c r="I109" s="567"/>
      <c r="J109" s="567"/>
      <c r="K109" s="567"/>
      <c r="L109" s="567"/>
      <c r="M109" s="567"/>
    </row>
    <row r="110" spans="3:13" ht="12.75">
      <c r="C110" s="644" t="s">
        <v>288</v>
      </c>
      <c r="D110" s="566"/>
      <c r="E110" s="567"/>
      <c r="F110" s="567"/>
      <c r="G110" s="567"/>
      <c r="H110" s="567"/>
      <c r="I110" s="567"/>
      <c r="J110" s="567"/>
      <c r="K110" s="567"/>
      <c r="L110" s="567"/>
      <c r="M110" s="567"/>
    </row>
    <row r="111" spans="3:13" ht="12.75">
      <c r="C111" s="644" t="s">
        <v>289</v>
      </c>
      <c r="D111" s="566"/>
      <c r="E111" s="567"/>
      <c r="F111" s="567"/>
      <c r="G111" s="567"/>
      <c r="H111" s="567"/>
      <c r="I111" s="567"/>
      <c r="J111" s="567"/>
      <c r="K111" s="567"/>
      <c r="L111" s="567"/>
      <c r="M111" s="567"/>
    </row>
    <row r="112" spans="3:13" ht="12.75">
      <c r="C112" s="644" t="s">
        <v>290</v>
      </c>
      <c r="D112" s="566"/>
      <c r="E112" s="567"/>
      <c r="F112" s="567"/>
      <c r="G112" s="567"/>
      <c r="H112" s="567"/>
      <c r="I112" s="567"/>
      <c r="J112" s="567"/>
      <c r="K112" s="567"/>
      <c r="L112" s="567"/>
      <c r="M112" s="567"/>
    </row>
    <row r="113" spans="3:13" ht="22.5" customHeight="1">
      <c r="C113" s="566"/>
      <c r="D113" s="566"/>
      <c r="E113" s="567"/>
      <c r="F113" s="567"/>
      <c r="G113" s="567"/>
      <c r="H113" s="567"/>
      <c r="I113" s="567"/>
      <c r="J113" s="567"/>
      <c r="K113" s="567"/>
      <c r="L113" s="567"/>
      <c r="M113" s="567"/>
    </row>
    <row r="114" spans="3:13" ht="22.5" customHeight="1">
      <c r="C114" s="566"/>
      <c r="D114" s="566"/>
      <c r="E114" s="567"/>
      <c r="F114" s="567"/>
      <c r="G114" s="567"/>
      <c r="H114" s="567"/>
      <c r="I114" s="567"/>
      <c r="J114" s="567"/>
      <c r="K114" s="567"/>
      <c r="L114" s="567"/>
      <c r="M114" s="567"/>
    </row>
    <row r="115" spans="3:13" ht="22.5" customHeight="1">
      <c r="C115" s="566"/>
      <c r="D115" s="566"/>
      <c r="E115" s="567"/>
      <c r="F115" s="567"/>
      <c r="G115" s="567"/>
      <c r="H115" s="567"/>
      <c r="I115" s="567"/>
      <c r="J115" s="567"/>
      <c r="K115" s="567"/>
      <c r="L115" s="567"/>
      <c r="M115" s="567"/>
    </row>
    <row r="116" spans="3:13" ht="22.5" customHeight="1">
      <c r="C116" s="566"/>
      <c r="D116" s="566"/>
      <c r="E116" s="567"/>
      <c r="F116" s="567"/>
      <c r="G116" s="567"/>
      <c r="H116" s="567"/>
      <c r="I116" s="567"/>
      <c r="J116" s="567"/>
      <c r="K116" s="567"/>
      <c r="L116" s="567"/>
      <c r="M116" s="567"/>
    </row>
    <row r="117" spans="6:13" ht="22.5" customHeight="1">
      <c r="F117" s="567"/>
      <c r="G117" s="567"/>
      <c r="H117" s="567"/>
      <c r="I117" s="567"/>
      <c r="J117" s="567"/>
      <c r="K117" s="567"/>
      <c r="L117" s="567"/>
      <c r="M117" s="567"/>
    </row>
  </sheetData>
  <sheetProtection sheet="1" insertRows="0"/>
  <mergeCells count="11">
    <mergeCell ref="M6:M7"/>
    <mergeCell ref="D9:M9"/>
    <mergeCell ref="C12:D12"/>
    <mergeCell ref="H81:M82"/>
    <mergeCell ref="C106:F106"/>
    <mergeCell ref="H51:M52"/>
    <mergeCell ref="H76:M77"/>
    <mergeCell ref="H95:M96"/>
    <mergeCell ref="C95:E96"/>
    <mergeCell ref="C98:E98"/>
    <mergeCell ref="C100:E10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 r:id="rId2"/>
  <ignoredErrors>
    <ignoredError sqref="E54:G54 E63:G63 E58:G58 F55:G55 F56:G56 F57:G57 E71:G71 F64:G64 G69 G7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="70" zoomScaleNormal="70" zoomScaleSheetLayoutView="50" zoomScalePageLayoutView="0" workbookViewId="0" topLeftCell="A1">
      <selection activeCell="K16" sqref="K16:M94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41" t="s">
        <v>82</v>
      </c>
    </row>
    <row r="5" spans="2:23" ht="9" customHeight="1">
      <c r="B5" s="44"/>
      <c r="C5" s="45"/>
      <c r="D5" s="45"/>
      <c r="E5" s="45"/>
      <c r="F5" s="45"/>
      <c r="G5" s="45"/>
      <c r="H5" s="46"/>
      <c r="J5" s="364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</row>
    <row r="6" spans="2:23" ht="30" customHeight="1">
      <c r="B6" s="47"/>
      <c r="C6" s="1" t="s">
        <v>216</v>
      </c>
      <c r="D6" s="43"/>
      <c r="E6" s="43"/>
      <c r="F6" s="43"/>
      <c r="G6" s="1285">
        <f>ejercicio</f>
        <v>2020</v>
      </c>
      <c r="H6" s="49"/>
      <c r="J6" s="367"/>
      <c r="K6" s="368" t="s">
        <v>906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</row>
    <row r="7" spans="2:23" ht="30" customHeight="1">
      <c r="B7" s="47"/>
      <c r="C7" s="1" t="s">
        <v>217</v>
      </c>
      <c r="D7" s="43"/>
      <c r="E7" s="43"/>
      <c r="F7" s="43"/>
      <c r="G7" s="1285"/>
      <c r="H7" s="49"/>
      <c r="J7" s="367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70"/>
    </row>
    <row r="8" spans="2:23" ht="30" customHeight="1">
      <c r="B8" s="47"/>
      <c r="C8" s="48"/>
      <c r="D8" s="43"/>
      <c r="E8" s="43"/>
      <c r="F8" s="43"/>
      <c r="G8" s="50"/>
      <c r="H8" s="49"/>
      <c r="J8" s="367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70"/>
    </row>
    <row r="9" spans="2:23" s="57" customFormat="1" ht="30" customHeight="1">
      <c r="B9" s="55"/>
      <c r="C9" s="38" t="s">
        <v>218</v>
      </c>
      <c r="D9" s="1300" t="str">
        <f>Entidad</f>
        <v>INSTITUTO TECNOLOGICO Y DE ENERGIAS RENOVABLES S.A.</v>
      </c>
      <c r="E9" s="1300"/>
      <c r="F9" s="1300"/>
      <c r="G9" s="1300"/>
      <c r="H9" s="56"/>
      <c r="J9" s="371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</row>
    <row r="10" spans="2:23" ht="6.75" customHeight="1">
      <c r="B10" s="47"/>
      <c r="C10" s="43"/>
      <c r="D10" s="43"/>
      <c r="E10" s="43"/>
      <c r="F10" s="43"/>
      <c r="G10" s="43"/>
      <c r="H10" s="49"/>
      <c r="J10" s="367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70"/>
    </row>
    <row r="11" spans="2:23" s="59" customFormat="1" ht="30" customHeight="1">
      <c r="B11" s="23"/>
      <c r="C11" s="11" t="s">
        <v>463</v>
      </c>
      <c r="D11" s="11"/>
      <c r="E11" s="11"/>
      <c r="F11" s="11"/>
      <c r="G11" s="11"/>
      <c r="H11" s="58"/>
      <c r="J11" s="374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6"/>
    </row>
    <row r="12" spans="2:23" s="59" customFormat="1" ht="30" customHeight="1">
      <c r="B12" s="23"/>
      <c r="C12" s="63"/>
      <c r="D12" s="63"/>
      <c r="E12" s="63"/>
      <c r="F12" s="63"/>
      <c r="G12" s="63"/>
      <c r="H12" s="58"/>
      <c r="J12" s="374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6"/>
    </row>
    <row r="13" spans="2:23" ht="22.5" customHeight="1">
      <c r="B13" s="47"/>
      <c r="C13" s="200"/>
      <c r="D13" s="201"/>
      <c r="E13" s="202" t="s">
        <v>392</v>
      </c>
      <c r="F13" s="202" t="s">
        <v>393</v>
      </c>
      <c r="G13" s="304" t="s">
        <v>394</v>
      </c>
      <c r="H13" s="49"/>
      <c r="J13" s="367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70"/>
    </row>
    <row r="14" spans="2:23" ht="22.5" customHeight="1">
      <c r="B14" s="47"/>
      <c r="C14" s="203" t="s">
        <v>459</v>
      </c>
      <c r="D14" s="65"/>
      <c r="E14" s="204">
        <f>ejercicio-2</f>
        <v>2018</v>
      </c>
      <c r="F14" s="204">
        <f>ejercicio-1</f>
        <v>2019</v>
      </c>
      <c r="G14" s="303">
        <f>ejercicio</f>
        <v>2020</v>
      </c>
      <c r="H14" s="49"/>
      <c r="J14" s="367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70"/>
    </row>
    <row r="15" spans="2:23" ht="22.5" customHeight="1">
      <c r="B15" s="47"/>
      <c r="C15" s="134"/>
      <c r="D15" s="83"/>
      <c r="E15" s="127"/>
      <c r="F15" s="127"/>
      <c r="G15" s="305"/>
      <c r="H15" s="49"/>
      <c r="J15" s="367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70"/>
    </row>
    <row r="16" spans="2:23" ht="22.5" customHeight="1">
      <c r="B16" s="47"/>
      <c r="C16" s="135" t="s">
        <v>396</v>
      </c>
      <c r="D16" s="81" t="s">
        <v>397</v>
      </c>
      <c r="E16" s="128">
        <f>E17+E26+E30+E33+E40+E47+E48</f>
        <v>141404764.97</v>
      </c>
      <c r="F16" s="128">
        <f>F17+F26+F30+F33+F40+F47+F48</f>
        <v>143265461.9</v>
      </c>
      <c r="G16" s="306">
        <f>G17+G26+G30+G33+G40+G47+G48</f>
        <v>141687587.99</v>
      </c>
      <c r="H16" s="49"/>
      <c r="J16" s="1266"/>
      <c r="K16" s="1276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70"/>
    </row>
    <row r="17" spans="2:23" ht="22.5" customHeight="1">
      <c r="B17" s="47"/>
      <c r="C17" s="136" t="s">
        <v>398</v>
      </c>
      <c r="D17" s="67" t="s">
        <v>399</v>
      </c>
      <c r="E17" s="129">
        <f>SUM(E18:E25)</f>
        <v>4587856.7700000005</v>
      </c>
      <c r="F17" s="129">
        <f>SUM(F18:F25)</f>
        <v>3910796.6699999995</v>
      </c>
      <c r="G17" s="307">
        <f>SUM(G18:G25)</f>
        <v>3234062.82</v>
      </c>
      <c r="H17" s="49"/>
      <c r="J17" s="1266"/>
      <c r="K17" s="1276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70"/>
    </row>
    <row r="18" spans="2:23" ht="22.5" customHeight="1">
      <c r="B18" s="47"/>
      <c r="C18" s="137" t="s">
        <v>297</v>
      </c>
      <c r="D18" s="68" t="s">
        <v>400</v>
      </c>
      <c r="E18" s="409"/>
      <c r="F18" s="409"/>
      <c r="G18" s="413"/>
      <c r="H18" s="49"/>
      <c r="J18" s="1266"/>
      <c r="K18" s="1276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70"/>
    </row>
    <row r="19" spans="2:23" ht="22.5" customHeight="1">
      <c r="B19" s="47"/>
      <c r="C19" s="138" t="s">
        <v>304</v>
      </c>
      <c r="D19" s="69" t="s">
        <v>401</v>
      </c>
      <c r="E19" s="410">
        <v>0.03</v>
      </c>
      <c r="F19" s="410">
        <v>0.03</v>
      </c>
      <c r="G19" s="414">
        <v>0.03</v>
      </c>
      <c r="H19" s="49"/>
      <c r="J19" s="1266"/>
      <c r="K19" s="1276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70"/>
    </row>
    <row r="20" spans="2:23" ht="22.5" customHeight="1">
      <c r="B20" s="47"/>
      <c r="C20" s="138" t="s">
        <v>306</v>
      </c>
      <c r="D20" s="69" t="s">
        <v>402</v>
      </c>
      <c r="E20" s="410"/>
      <c r="F20" s="410"/>
      <c r="G20" s="414"/>
      <c r="H20" s="49"/>
      <c r="J20" s="1266"/>
      <c r="K20" s="1276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70"/>
    </row>
    <row r="21" spans="2:23" ht="22.5" customHeight="1">
      <c r="B21" s="47"/>
      <c r="C21" s="138" t="s">
        <v>308</v>
      </c>
      <c r="D21" s="69" t="s">
        <v>403</v>
      </c>
      <c r="E21" s="410">
        <v>4517668.88</v>
      </c>
      <c r="F21" s="410">
        <v>3872287.61</v>
      </c>
      <c r="G21" s="414">
        <v>3226906.34</v>
      </c>
      <c r="H21" s="49"/>
      <c r="J21" s="1266"/>
      <c r="K21" s="1276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</row>
    <row r="22" spans="2:23" ht="22.5" customHeight="1">
      <c r="B22" s="47"/>
      <c r="C22" s="138" t="s">
        <v>404</v>
      </c>
      <c r="D22" s="69" t="s">
        <v>405</v>
      </c>
      <c r="E22" s="410">
        <v>70187.86</v>
      </c>
      <c r="F22" s="410">
        <v>38509.03</v>
      </c>
      <c r="G22" s="414">
        <v>7156.45</v>
      </c>
      <c r="H22" s="49"/>
      <c r="J22" s="1266"/>
      <c r="K22" s="1276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70"/>
    </row>
    <row r="23" spans="2:23" ht="22.5" customHeight="1">
      <c r="B23" s="47"/>
      <c r="C23" s="138" t="s">
        <v>318</v>
      </c>
      <c r="D23" s="69" t="s">
        <v>406</v>
      </c>
      <c r="E23" s="410"/>
      <c r="F23" s="410"/>
      <c r="G23" s="414"/>
      <c r="H23" s="49"/>
      <c r="J23" s="1266"/>
      <c r="K23" s="1276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70"/>
    </row>
    <row r="24" spans="2:23" ht="22.5" customHeight="1">
      <c r="B24" s="47"/>
      <c r="C24" s="138" t="s">
        <v>323</v>
      </c>
      <c r="D24" s="69" t="s">
        <v>458</v>
      </c>
      <c r="E24" s="410"/>
      <c r="F24" s="410"/>
      <c r="G24" s="414"/>
      <c r="H24" s="49"/>
      <c r="J24" s="1266"/>
      <c r="K24" s="1276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70"/>
    </row>
    <row r="25" spans="2:23" ht="22.5" customHeight="1">
      <c r="B25" s="47"/>
      <c r="C25" s="138" t="s">
        <v>331</v>
      </c>
      <c r="D25" s="69" t="s">
        <v>407</v>
      </c>
      <c r="E25" s="410"/>
      <c r="F25" s="410"/>
      <c r="G25" s="414"/>
      <c r="H25" s="49"/>
      <c r="J25" s="1266"/>
      <c r="K25" s="1276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70"/>
    </row>
    <row r="26" spans="2:23" ht="22.5" customHeight="1">
      <c r="B26" s="47"/>
      <c r="C26" s="136" t="s">
        <v>408</v>
      </c>
      <c r="D26" s="67" t="s">
        <v>409</v>
      </c>
      <c r="E26" s="129">
        <f>SUM(E27:E29)</f>
        <v>109601600.42</v>
      </c>
      <c r="F26" s="129">
        <f>SUM(F27:F29)</f>
        <v>112420045.42</v>
      </c>
      <c r="G26" s="307">
        <f>SUM(G27:G29)</f>
        <v>111250371.27</v>
      </c>
      <c r="H26" s="49"/>
      <c r="J26" s="1266"/>
      <c r="K26" s="1276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70"/>
    </row>
    <row r="27" spans="2:23" ht="22.5" customHeight="1">
      <c r="B27" s="47"/>
      <c r="C27" s="137" t="s">
        <v>297</v>
      </c>
      <c r="D27" s="68" t="s">
        <v>410</v>
      </c>
      <c r="E27" s="409">
        <v>31916713.46</v>
      </c>
      <c r="F27" s="409">
        <v>31459405.87</v>
      </c>
      <c r="G27" s="413">
        <v>31232460.28</v>
      </c>
      <c r="H27" s="49"/>
      <c r="J27" s="1266"/>
      <c r="K27" s="1276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</row>
    <row r="28" spans="2:23" ht="22.5" customHeight="1">
      <c r="B28" s="47"/>
      <c r="C28" s="138" t="s">
        <v>304</v>
      </c>
      <c r="D28" s="69" t="s">
        <v>411</v>
      </c>
      <c r="E28" s="410">
        <v>66730651.24</v>
      </c>
      <c r="F28" s="410">
        <v>69012408.35</v>
      </c>
      <c r="G28" s="414">
        <f>73296783.25-200000</f>
        <v>73096783.25</v>
      </c>
      <c r="H28" s="49"/>
      <c r="J28" s="1266"/>
      <c r="K28" s="1276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70"/>
    </row>
    <row r="29" spans="2:23" ht="22.5" customHeight="1">
      <c r="B29" s="47"/>
      <c r="C29" s="138" t="s">
        <v>306</v>
      </c>
      <c r="D29" s="69" t="s">
        <v>412</v>
      </c>
      <c r="E29" s="410">
        <v>10954235.72</v>
      </c>
      <c r="F29" s="410">
        <v>11948231.2</v>
      </c>
      <c r="G29" s="414">
        <v>6921127.74</v>
      </c>
      <c r="H29" s="49"/>
      <c r="J29" s="1266"/>
      <c r="K29" s="1276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</row>
    <row r="30" spans="2:23" ht="22.5" customHeight="1">
      <c r="B30" s="47"/>
      <c r="C30" s="136" t="s">
        <v>413</v>
      </c>
      <c r="D30" s="67" t="s">
        <v>414</v>
      </c>
      <c r="E30" s="129">
        <f>SUM(E31:E32)</f>
        <v>0</v>
      </c>
      <c r="F30" s="129">
        <f>SUM(F31:F32)</f>
        <v>0</v>
      </c>
      <c r="G30" s="307">
        <f>SUM(G31:G32)</f>
        <v>0</v>
      </c>
      <c r="H30" s="49"/>
      <c r="J30" s="1266"/>
      <c r="K30" s="1276"/>
      <c r="L30" s="369"/>
      <c r="M30" s="369"/>
      <c r="N30" s="379"/>
      <c r="O30" s="379"/>
      <c r="P30" s="379"/>
      <c r="Q30" s="379"/>
      <c r="R30" s="379"/>
      <c r="S30" s="379"/>
      <c r="T30" s="379"/>
      <c r="U30" s="379"/>
      <c r="V30" s="379"/>
      <c r="W30" s="380"/>
    </row>
    <row r="31" spans="2:23" ht="22.5" customHeight="1">
      <c r="B31" s="47"/>
      <c r="C31" s="137" t="s">
        <v>297</v>
      </c>
      <c r="D31" s="68" t="s">
        <v>415</v>
      </c>
      <c r="E31" s="409"/>
      <c r="F31" s="409"/>
      <c r="G31" s="413"/>
      <c r="H31" s="49"/>
      <c r="J31" s="1266"/>
      <c r="K31" s="1276"/>
      <c r="L31" s="369"/>
      <c r="M31" s="369"/>
      <c r="N31" s="379"/>
      <c r="O31" s="379"/>
      <c r="P31" s="379"/>
      <c r="Q31" s="379"/>
      <c r="R31" s="379"/>
      <c r="S31" s="379"/>
      <c r="T31" s="379"/>
      <c r="U31" s="379"/>
      <c r="V31" s="379"/>
      <c r="W31" s="380"/>
    </row>
    <row r="32" spans="2:23" ht="22.5" customHeight="1">
      <c r="B32" s="47"/>
      <c r="C32" s="138" t="s">
        <v>304</v>
      </c>
      <c r="D32" s="69" t="s">
        <v>416</v>
      </c>
      <c r="E32" s="410"/>
      <c r="F32" s="410"/>
      <c r="G32" s="414"/>
      <c r="H32" s="49"/>
      <c r="J32" s="1266"/>
      <c r="K32" s="1276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70"/>
    </row>
    <row r="33" spans="2:23" ht="22.5" customHeight="1">
      <c r="B33" s="47"/>
      <c r="C33" s="136" t="s">
        <v>417</v>
      </c>
      <c r="D33" s="67" t="s">
        <v>418</v>
      </c>
      <c r="E33" s="129">
        <f>SUM(E34:E39)</f>
        <v>16074861.34</v>
      </c>
      <c r="F33" s="129">
        <f>SUM(F34:F39)</f>
        <v>15374931.34</v>
      </c>
      <c r="G33" s="307">
        <f>SUM(G34:G39)</f>
        <v>15749931.34</v>
      </c>
      <c r="H33" s="49"/>
      <c r="J33" s="1266"/>
      <c r="K33" s="1276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70"/>
    </row>
    <row r="34" spans="2:23" ht="22.5" customHeight="1">
      <c r="B34" s="47"/>
      <c r="C34" s="137" t="s">
        <v>297</v>
      </c>
      <c r="D34" s="68" t="s">
        <v>419</v>
      </c>
      <c r="E34" s="409">
        <v>16074861.34</v>
      </c>
      <c r="F34" s="409">
        <v>15374931.34</v>
      </c>
      <c r="G34" s="413">
        <f>15592931.34+375000-218000</f>
        <v>15749931.34</v>
      </c>
      <c r="H34" s="49"/>
      <c r="J34" s="1266"/>
      <c r="K34" s="1276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70"/>
    </row>
    <row r="35" spans="2:23" ht="22.5" customHeight="1">
      <c r="B35" s="47"/>
      <c r="C35" s="138" t="s">
        <v>304</v>
      </c>
      <c r="D35" s="69" t="s">
        <v>420</v>
      </c>
      <c r="E35" s="410"/>
      <c r="F35" s="410"/>
      <c r="G35" s="414"/>
      <c r="H35" s="49"/>
      <c r="J35" s="1266"/>
      <c r="K35" s="1276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70"/>
    </row>
    <row r="36" spans="2:23" ht="22.5" customHeight="1">
      <c r="B36" s="47"/>
      <c r="C36" s="138" t="s">
        <v>306</v>
      </c>
      <c r="D36" s="69" t="s">
        <v>421</v>
      </c>
      <c r="E36" s="410"/>
      <c r="F36" s="410"/>
      <c r="G36" s="414"/>
      <c r="H36" s="49"/>
      <c r="J36" s="1266"/>
      <c r="K36" s="1276"/>
      <c r="L36" s="369"/>
      <c r="M36" s="369"/>
      <c r="N36" s="382"/>
      <c r="O36" s="382"/>
      <c r="P36" s="382"/>
      <c r="Q36" s="382"/>
      <c r="R36" s="382"/>
      <c r="S36" s="382"/>
      <c r="T36" s="382"/>
      <c r="U36" s="382"/>
      <c r="V36" s="382"/>
      <c r="W36" s="383"/>
    </row>
    <row r="37" spans="2:23" ht="22.5" customHeight="1">
      <c r="B37" s="47"/>
      <c r="C37" s="138" t="s">
        <v>308</v>
      </c>
      <c r="D37" s="69" t="s">
        <v>422</v>
      </c>
      <c r="E37" s="410"/>
      <c r="F37" s="410"/>
      <c r="G37" s="414"/>
      <c r="H37" s="49"/>
      <c r="J37" s="1266"/>
      <c r="K37" s="1276"/>
      <c r="L37" s="369"/>
      <c r="M37" s="369"/>
      <c r="N37" s="382"/>
      <c r="O37" s="382"/>
      <c r="P37" s="382"/>
      <c r="Q37" s="382"/>
      <c r="R37" s="382"/>
      <c r="S37" s="382"/>
      <c r="T37" s="382"/>
      <c r="U37" s="382"/>
      <c r="V37" s="382"/>
      <c r="W37" s="383"/>
    </row>
    <row r="38" spans="2:23" ht="22.5" customHeight="1">
      <c r="B38" s="47"/>
      <c r="C38" s="138" t="s">
        <v>404</v>
      </c>
      <c r="D38" s="69" t="s">
        <v>423</v>
      </c>
      <c r="E38" s="410"/>
      <c r="F38" s="410"/>
      <c r="G38" s="414"/>
      <c r="H38" s="49"/>
      <c r="J38" s="1266"/>
      <c r="K38" s="1276"/>
      <c r="L38" s="369"/>
      <c r="M38" s="369"/>
      <c r="N38" s="382"/>
      <c r="O38" s="382"/>
      <c r="P38" s="382"/>
      <c r="Q38" s="382"/>
      <c r="R38" s="382"/>
      <c r="S38" s="382"/>
      <c r="T38" s="382"/>
      <c r="U38" s="382"/>
      <c r="V38" s="382"/>
      <c r="W38" s="383"/>
    </row>
    <row r="39" spans="2:23" ht="22.5" customHeight="1">
      <c r="B39" s="47"/>
      <c r="C39" s="138" t="s">
        <v>318</v>
      </c>
      <c r="D39" s="69" t="s">
        <v>424</v>
      </c>
      <c r="E39" s="410"/>
      <c r="F39" s="410"/>
      <c r="G39" s="414"/>
      <c r="H39" s="49"/>
      <c r="J39" s="1266"/>
      <c r="K39" s="1276"/>
      <c r="L39" s="369"/>
      <c r="M39" s="369"/>
      <c r="N39" s="382"/>
      <c r="O39" s="382"/>
      <c r="P39" s="382"/>
      <c r="Q39" s="382"/>
      <c r="R39" s="382"/>
      <c r="S39" s="382"/>
      <c r="T39" s="382"/>
      <c r="U39" s="382"/>
      <c r="V39" s="382"/>
      <c r="W39" s="383"/>
    </row>
    <row r="40" spans="2:23" ht="22.5" customHeight="1">
      <c r="B40" s="47"/>
      <c r="C40" s="136" t="s">
        <v>425</v>
      </c>
      <c r="D40" s="67" t="s">
        <v>426</v>
      </c>
      <c r="E40" s="129">
        <f>SUM(E41:E46)</f>
        <v>80811.76000000001</v>
      </c>
      <c r="F40" s="129">
        <f>SUM(F41:F46)</f>
        <v>80811.76000000001</v>
      </c>
      <c r="G40" s="307">
        <f>SUM(G41:G46)</f>
        <v>80811.76000000001</v>
      </c>
      <c r="H40" s="49"/>
      <c r="J40" s="1266"/>
      <c r="K40" s="1276"/>
      <c r="L40" s="369"/>
      <c r="M40" s="369"/>
      <c r="N40" s="382"/>
      <c r="O40" s="382"/>
      <c r="P40" s="382"/>
      <c r="Q40" s="382"/>
      <c r="R40" s="382"/>
      <c r="S40" s="382"/>
      <c r="T40" s="382"/>
      <c r="U40" s="382"/>
      <c r="V40" s="382"/>
      <c r="W40" s="383"/>
    </row>
    <row r="41" spans="2:23" ht="22.5" customHeight="1">
      <c r="B41" s="47"/>
      <c r="C41" s="137" t="s">
        <v>297</v>
      </c>
      <c r="D41" s="68" t="s">
        <v>419</v>
      </c>
      <c r="E41" s="409">
        <v>63920.08</v>
      </c>
      <c r="F41" s="409">
        <v>63920.08</v>
      </c>
      <c r="G41" s="413">
        <v>63920.08</v>
      </c>
      <c r="H41" s="49"/>
      <c r="J41" s="1266"/>
      <c r="K41" s="1276"/>
      <c r="L41" s="369"/>
      <c r="M41" s="369"/>
      <c r="N41" s="382"/>
      <c r="O41" s="382"/>
      <c r="P41" s="382"/>
      <c r="Q41" s="382"/>
      <c r="R41" s="382"/>
      <c r="S41" s="382"/>
      <c r="T41" s="382"/>
      <c r="U41" s="382"/>
      <c r="V41" s="382"/>
      <c r="W41" s="383"/>
    </row>
    <row r="42" spans="2:23" ht="22.5" customHeight="1">
      <c r="B42" s="47"/>
      <c r="C42" s="138" t="s">
        <v>304</v>
      </c>
      <c r="D42" s="69" t="s">
        <v>427</v>
      </c>
      <c r="E42" s="410">
        <v>400</v>
      </c>
      <c r="F42" s="410">
        <v>400</v>
      </c>
      <c r="G42" s="414">
        <v>400</v>
      </c>
      <c r="H42" s="49"/>
      <c r="J42" s="1266"/>
      <c r="K42" s="1276"/>
      <c r="L42" s="369"/>
      <c r="M42" s="369"/>
      <c r="N42" s="382"/>
      <c r="O42" s="382"/>
      <c r="P42" s="382"/>
      <c r="Q42" s="382"/>
      <c r="R42" s="382"/>
      <c r="S42" s="382"/>
      <c r="T42" s="382"/>
      <c r="U42" s="382"/>
      <c r="V42" s="382"/>
      <c r="W42" s="383"/>
    </row>
    <row r="43" spans="2:23" ht="22.5" customHeight="1">
      <c r="B43" s="47"/>
      <c r="C43" s="138" t="s">
        <v>306</v>
      </c>
      <c r="D43" s="69" t="s">
        <v>421</v>
      </c>
      <c r="E43" s="410"/>
      <c r="F43" s="410"/>
      <c r="G43" s="414"/>
      <c r="H43" s="49"/>
      <c r="J43" s="1266"/>
      <c r="K43" s="1276"/>
      <c r="L43" s="369"/>
      <c r="M43" s="369"/>
      <c r="N43" s="382"/>
      <c r="O43" s="382"/>
      <c r="P43" s="382"/>
      <c r="Q43" s="382"/>
      <c r="R43" s="382"/>
      <c r="S43" s="382"/>
      <c r="T43" s="382"/>
      <c r="U43" s="382"/>
      <c r="V43" s="382"/>
      <c r="W43" s="383"/>
    </row>
    <row r="44" spans="2:23" ht="22.5" customHeight="1">
      <c r="B44" s="47"/>
      <c r="C44" s="138" t="s">
        <v>308</v>
      </c>
      <c r="D44" s="69" t="s">
        <v>422</v>
      </c>
      <c r="E44" s="410"/>
      <c r="F44" s="410"/>
      <c r="G44" s="414"/>
      <c r="H44" s="49"/>
      <c r="J44" s="1266"/>
      <c r="K44" s="1276"/>
      <c r="L44" s="369"/>
      <c r="M44" s="369"/>
      <c r="N44" s="382"/>
      <c r="O44" s="382"/>
      <c r="P44" s="382"/>
      <c r="Q44" s="382"/>
      <c r="R44" s="382"/>
      <c r="S44" s="382"/>
      <c r="T44" s="382"/>
      <c r="U44" s="382"/>
      <c r="V44" s="382"/>
      <c r="W44" s="383"/>
    </row>
    <row r="45" spans="2:23" ht="22.5" customHeight="1">
      <c r="B45" s="47"/>
      <c r="C45" s="138" t="s">
        <v>404</v>
      </c>
      <c r="D45" s="69" t="s">
        <v>423</v>
      </c>
      <c r="E45" s="410">
        <v>16491.68</v>
      </c>
      <c r="F45" s="410">
        <v>16491.68</v>
      </c>
      <c r="G45" s="414">
        <v>16491.68</v>
      </c>
      <c r="H45" s="49"/>
      <c r="J45" s="1266"/>
      <c r="K45" s="1276"/>
      <c r="L45" s="369"/>
      <c r="M45" s="369"/>
      <c r="N45" s="382"/>
      <c r="O45" s="382"/>
      <c r="P45" s="382"/>
      <c r="Q45" s="382"/>
      <c r="R45" s="382"/>
      <c r="S45" s="382"/>
      <c r="T45" s="382"/>
      <c r="U45" s="382"/>
      <c r="V45" s="382"/>
      <c r="W45" s="383"/>
    </row>
    <row r="46" spans="2:23" ht="22.5" customHeight="1">
      <c r="B46" s="47"/>
      <c r="C46" s="138" t="s">
        <v>318</v>
      </c>
      <c r="D46" s="69" t="s">
        <v>424</v>
      </c>
      <c r="E46" s="410"/>
      <c r="F46" s="410"/>
      <c r="G46" s="414"/>
      <c r="H46" s="49"/>
      <c r="J46" s="1266"/>
      <c r="K46" s="1276"/>
      <c r="L46" s="369"/>
      <c r="M46" s="369"/>
      <c r="N46" s="382"/>
      <c r="O46" s="382"/>
      <c r="P46" s="382"/>
      <c r="Q46" s="382"/>
      <c r="R46" s="382"/>
      <c r="S46" s="382"/>
      <c r="T46" s="382"/>
      <c r="U46" s="382"/>
      <c r="V46" s="382"/>
      <c r="W46" s="383"/>
    </row>
    <row r="47" spans="2:23" ht="22.5" customHeight="1">
      <c r="B47" s="47"/>
      <c r="C47" s="136" t="s">
        <v>428</v>
      </c>
      <c r="D47" s="67" t="s">
        <v>429</v>
      </c>
      <c r="E47" s="411">
        <v>11059634.68</v>
      </c>
      <c r="F47" s="411">
        <v>11478876.71</v>
      </c>
      <c r="G47" s="415">
        <v>11372410.8</v>
      </c>
      <c r="H47" s="49"/>
      <c r="J47" s="1266"/>
      <c r="K47" s="1276"/>
      <c r="L47" s="369"/>
      <c r="M47" s="369"/>
      <c r="N47" s="382"/>
      <c r="O47" s="382"/>
      <c r="P47" s="382"/>
      <c r="Q47" s="382"/>
      <c r="R47" s="382"/>
      <c r="S47" s="382"/>
      <c r="T47" s="382"/>
      <c r="U47" s="382"/>
      <c r="V47" s="382"/>
      <c r="W47" s="383"/>
    </row>
    <row r="48" spans="2:23" ht="22.5" customHeight="1">
      <c r="B48" s="47"/>
      <c r="C48" s="136" t="s">
        <v>430</v>
      </c>
      <c r="D48" s="67" t="s">
        <v>431</v>
      </c>
      <c r="E48" s="411">
        <v>0</v>
      </c>
      <c r="F48" s="411">
        <v>0</v>
      </c>
      <c r="G48" s="415">
        <v>0</v>
      </c>
      <c r="H48" s="49"/>
      <c r="J48" s="1266"/>
      <c r="K48" s="1276"/>
      <c r="L48" s="369"/>
      <c r="M48" s="369"/>
      <c r="N48" s="382"/>
      <c r="O48" s="382"/>
      <c r="P48" s="382"/>
      <c r="Q48" s="382"/>
      <c r="R48" s="382"/>
      <c r="S48" s="382"/>
      <c r="T48" s="382"/>
      <c r="U48" s="382"/>
      <c r="V48" s="382"/>
      <c r="W48" s="383"/>
    </row>
    <row r="49" spans="2:23" ht="22.5" customHeight="1">
      <c r="B49" s="47"/>
      <c r="C49" s="139"/>
      <c r="D49" s="61"/>
      <c r="E49" s="127"/>
      <c r="F49" s="127"/>
      <c r="G49" s="305"/>
      <c r="H49" s="49"/>
      <c r="J49" s="1266"/>
      <c r="K49" s="1276"/>
      <c r="L49" s="369"/>
      <c r="M49" s="369"/>
      <c r="N49" s="382"/>
      <c r="O49" s="382"/>
      <c r="P49" s="382"/>
      <c r="Q49" s="382"/>
      <c r="R49" s="382"/>
      <c r="S49" s="382"/>
      <c r="T49" s="382"/>
      <c r="U49" s="382"/>
      <c r="V49" s="382"/>
      <c r="W49" s="383"/>
    </row>
    <row r="50" spans="2:23" s="72" customFormat="1" ht="22.5" customHeight="1">
      <c r="B50" s="23"/>
      <c r="C50" s="135" t="s">
        <v>386</v>
      </c>
      <c r="D50" s="81" t="s">
        <v>432</v>
      </c>
      <c r="E50" s="128">
        <f>E51+E52+E65+E75+E82+E89+E90</f>
        <v>67672793.47</v>
      </c>
      <c r="F50" s="128">
        <f>F51+F52+F65+F75+F82+F89+F90</f>
        <v>40306506.080000006</v>
      </c>
      <c r="G50" s="306">
        <f>G51+G52+G65+G75+G82+G89+G90</f>
        <v>36340395.51</v>
      </c>
      <c r="H50" s="58"/>
      <c r="J50" s="1266"/>
      <c r="K50" s="1276"/>
      <c r="L50" s="369"/>
      <c r="M50" s="369"/>
      <c r="N50" s="382"/>
      <c r="O50" s="382"/>
      <c r="P50" s="382"/>
      <c r="Q50" s="382"/>
      <c r="R50" s="382"/>
      <c r="S50" s="382"/>
      <c r="T50" s="382"/>
      <c r="U50" s="382"/>
      <c r="V50" s="382"/>
      <c r="W50" s="383"/>
    </row>
    <row r="51" spans="2:23" ht="22.5" customHeight="1">
      <c r="B51" s="47"/>
      <c r="C51" s="136" t="s">
        <v>398</v>
      </c>
      <c r="D51" s="67" t="s">
        <v>433</v>
      </c>
      <c r="E51" s="411"/>
      <c r="F51" s="411"/>
      <c r="G51" s="415"/>
      <c r="H51" s="49"/>
      <c r="J51" s="1266"/>
      <c r="K51" s="1276"/>
      <c r="L51" s="369"/>
      <c r="M51" s="369"/>
      <c r="N51" s="382"/>
      <c r="O51" s="382"/>
      <c r="P51" s="382"/>
      <c r="Q51" s="382"/>
      <c r="R51" s="382"/>
      <c r="S51" s="382"/>
      <c r="T51" s="382"/>
      <c r="U51" s="382"/>
      <c r="V51" s="382"/>
      <c r="W51" s="383"/>
    </row>
    <row r="52" spans="2:23" ht="22.5" customHeight="1">
      <c r="B52" s="47"/>
      <c r="C52" s="136" t="s">
        <v>408</v>
      </c>
      <c r="D52" s="67" t="s">
        <v>434</v>
      </c>
      <c r="E52" s="129">
        <f>E53+E54+E57+E60+E63+E64</f>
        <v>1074298.19</v>
      </c>
      <c r="F52" s="129">
        <f>F53+F54+F57+F60+F63+F64</f>
        <v>1074298.19</v>
      </c>
      <c r="G52" s="307">
        <f>G53+G54+G57+G60+G63+G64</f>
        <v>1073398.19</v>
      </c>
      <c r="H52" s="49"/>
      <c r="J52" s="1266"/>
      <c r="K52" s="1276"/>
      <c r="L52" s="369"/>
      <c r="M52" s="369"/>
      <c r="N52" s="382"/>
      <c r="O52" s="382"/>
      <c r="P52" s="382"/>
      <c r="Q52" s="382"/>
      <c r="R52" s="382"/>
      <c r="S52" s="382"/>
      <c r="T52" s="382"/>
      <c r="U52" s="382"/>
      <c r="V52" s="382"/>
      <c r="W52" s="383"/>
    </row>
    <row r="53" spans="2:23" ht="22.5" customHeight="1">
      <c r="B53" s="47"/>
      <c r="C53" s="138" t="s">
        <v>297</v>
      </c>
      <c r="D53" s="69" t="s">
        <v>435</v>
      </c>
      <c r="E53" s="410">
        <v>13480.11</v>
      </c>
      <c r="F53" s="410">
        <v>13480.11</v>
      </c>
      <c r="G53" s="414">
        <v>12580.11</v>
      </c>
      <c r="H53" s="49"/>
      <c r="J53" s="1266"/>
      <c r="K53" s="1276"/>
      <c r="L53" s="369"/>
      <c r="M53" s="369"/>
      <c r="N53" s="382"/>
      <c r="O53" s="382"/>
      <c r="P53" s="382"/>
      <c r="Q53" s="382"/>
      <c r="R53" s="382"/>
      <c r="S53" s="382"/>
      <c r="T53" s="382"/>
      <c r="U53" s="382"/>
      <c r="V53" s="382"/>
      <c r="W53" s="383"/>
    </row>
    <row r="54" spans="2:23" ht="22.5" customHeight="1">
      <c r="B54" s="47"/>
      <c r="C54" s="138" t="s">
        <v>304</v>
      </c>
      <c r="D54" s="69" t="s">
        <v>436</v>
      </c>
      <c r="E54" s="131">
        <f>E55+E56</f>
        <v>890789.89</v>
      </c>
      <c r="F54" s="131">
        <f>F55+F56</f>
        <v>890789.89</v>
      </c>
      <c r="G54" s="308">
        <f>G55+G56</f>
        <v>890789.89</v>
      </c>
      <c r="H54" s="49"/>
      <c r="J54" s="1266"/>
      <c r="K54" s="1276"/>
      <c r="L54" s="369"/>
      <c r="M54" s="369"/>
      <c r="N54" s="382"/>
      <c r="O54" s="382"/>
      <c r="P54" s="382"/>
      <c r="Q54" s="382"/>
      <c r="R54" s="382"/>
      <c r="S54" s="382"/>
      <c r="T54" s="382"/>
      <c r="U54" s="382"/>
      <c r="V54" s="382"/>
      <c r="W54" s="383"/>
    </row>
    <row r="55" spans="2:23" ht="22.5" customHeight="1">
      <c r="B55" s="47"/>
      <c r="C55" s="141" t="s">
        <v>298</v>
      </c>
      <c r="D55" s="84" t="s">
        <v>460</v>
      </c>
      <c r="E55" s="418"/>
      <c r="F55" s="418"/>
      <c r="G55" s="650"/>
      <c r="H55" s="49"/>
      <c r="J55" s="1266"/>
      <c r="K55" s="1276"/>
      <c r="L55" s="369"/>
      <c r="M55" s="369"/>
      <c r="N55" s="382"/>
      <c r="O55" s="382"/>
      <c r="P55" s="382"/>
      <c r="Q55" s="382"/>
      <c r="R55" s="382"/>
      <c r="S55" s="382"/>
      <c r="T55" s="382"/>
      <c r="U55" s="382"/>
      <c r="V55" s="382"/>
      <c r="W55" s="383"/>
    </row>
    <row r="56" spans="2:23" ht="22.5" customHeight="1">
      <c r="B56" s="47"/>
      <c r="C56" s="141" t="s">
        <v>300</v>
      </c>
      <c r="D56" s="84" t="s">
        <v>461</v>
      </c>
      <c r="E56" s="418">
        <v>890789.89</v>
      </c>
      <c r="F56" s="418">
        <v>890789.89</v>
      </c>
      <c r="G56" s="418">
        <v>890789.89</v>
      </c>
      <c r="H56" s="49"/>
      <c r="J56" s="1266"/>
      <c r="K56" s="1276"/>
      <c r="L56" s="369"/>
      <c r="M56" s="369"/>
      <c r="N56" s="382"/>
      <c r="O56" s="382"/>
      <c r="P56" s="382"/>
      <c r="Q56" s="382"/>
      <c r="R56" s="382"/>
      <c r="S56" s="382"/>
      <c r="T56" s="382"/>
      <c r="U56" s="382"/>
      <c r="V56" s="382"/>
      <c r="W56" s="383"/>
    </row>
    <row r="57" spans="2:23" ht="22.5" customHeight="1">
      <c r="B57" s="47"/>
      <c r="C57" s="138" t="s">
        <v>306</v>
      </c>
      <c r="D57" s="69" t="s">
        <v>437</v>
      </c>
      <c r="E57" s="131">
        <f>E58+E59</f>
        <v>66288.18</v>
      </c>
      <c r="F57" s="131">
        <f>F58+F59</f>
        <v>66288.18</v>
      </c>
      <c r="G57" s="308">
        <f>G58+G59</f>
        <v>66288.18</v>
      </c>
      <c r="H57" s="49"/>
      <c r="J57" s="1266"/>
      <c r="K57" s="1276"/>
      <c r="L57" s="369"/>
      <c r="M57" s="369"/>
      <c r="N57" s="382"/>
      <c r="O57" s="382"/>
      <c r="P57" s="382"/>
      <c r="Q57" s="382"/>
      <c r="R57" s="382"/>
      <c r="S57" s="382"/>
      <c r="T57" s="382"/>
      <c r="U57" s="382"/>
      <c r="V57" s="382"/>
      <c r="W57" s="383"/>
    </row>
    <row r="58" spans="2:23" ht="22.5" customHeight="1">
      <c r="B58" s="47"/>
      <c r="C58" s="141" t="s">
        <v>298</v>
      </c>
      <c r="D58" s="84" t="s">
        <v>438</v>
      </c>
      <c r="E58" s="418"/>
      <c r="F58" s="418"/>
      <c r="G58" s="650"/>
      <c r="H58" s="49"/>
      <c r="J58" s="1266"/>
      <c r="K58" s="1276"/>
      <c r="L58" s="369"/>
      <c r="M58" s="369"/>
      <c r="N58" s="382"/>
      <c r="O58" s="382"/>
      <c r="P58" s="382"/>
      <c r="Q58" s="382"/>
      <c r="R58" s="382"/>
      <c r="S58" s="382"/>
      <c r="T58" s="382"/>
      <c r="U58" s="382"/>
      <c r="V58" s="382"/>
      <c r="W58" s="383"/>
    </row>
    <row r="59" spans="2:23" ht="22.5" customHeight="1">
      <c r="B59" s="47"/>
      <c r="C59" s="141" t="s">
        <v>300</v>
      </c>
      <c r="D59" s="84" t="s">
        <v>439</v>
      </c>
      <c r="E59" s="418">
        <v>66288.18</v>
      </c>
      <c r="F59" s="418">
        <v>66288.18</v>
      </c>
      <c r="G59" s="418">
        <v>66288.18</v>
      </c>
      <c r="H59" s="49"/>
      <c r="J59" s="1266"/>
      <c r="K59" s="1276"/>
      <c r="L59" s="369"/>
      <c r="M59" s="369"/>
      <c r="N59" s="382"/>
      <c r="O59" s="382"/>
      <c r="P59" s="382"/>
      <c r="Q59" s="382"/>
      <c r="R59" s="382"/>
      <c r="S59" s="382"/>
      <c r="T59" s="382"/>
      <c r="U59" s="382"/>
      <c r="V59" s="382"/>
      <c r="W59" s="383"/>
    </row>
    <row r="60" spans="2:23" ht="22.5" customHeight="1">
      <c r="B60" s="47"/>
      <c r="C60" s="138" t="s">
        <v>308</v>
      </c>
      <c r="D60" s="69" t="s">
        <v>440</v>
      </c>
      <c r="E60" s="131">
        <f>E61+E62</f>
        <v>103740</v>
      </c>
      <c r="F60" s="131">
        <f>F61+F62</f>
        <v>103740</v>
      </c>
      <c r="G60" s="308">
        <f>G61+G62</f>
        <v>103740</v>
      </c>
      <c r="H60" s="49"/>
      <c r="J60" s="1266"/>
      <c r="K60" s="1276"/>
      <c r="L60" s="369"/>
      <c r="M60" s="369"/>
      <c r="N60" s="382"/>
      <c r="O60" s="382"/>
      <c r="P60" s="382"/>
      <c r="Q60" s="382"/>
      <c r="R60" s="382"/>
      <c r="S60" s="382"/>
      <c r="T60" s="382"/>
      <c r="U60" s="382"/>
      <c r="V60" s="382"/>
      <c r="W60" s="383"/>
    </row>
    <row r="61" spans="2:23" ht="22.5" customHeight="1">
      <c r="B61" s="47"/>
      <c r="C61" s="141" t="s">
        <v>298</v>
      </c>
      <c r="D61" s="84" t="s">
        <v>438</v>
      </c>
      <c r="E61" s="418"/>
      <c r="F61" s="418"/>
      <c r="G61" s="650"/>
      <c r="H61" s="49"/>
      <c r="J61" s="1266"/>
      <c r="K61" s="1276"/>
      <c r="L61" s="369"/>
      <c r="M61" s="369"/>
      <c r="N61" s="382"/>
      <c r="O61" s="382"/>
      <c r="P61" s="382"/>
      <c r="Q61" s="382"/>
      <c r="R61" s="382"/>
      <c r="S61" s="382"/>
      <c r="T61" s="382"/>
      <c r="U61" s="382"/>
      <c r="V61" s="382"/>
      <c r="W61" s="383"/>
    </row>
    <row r="62" spans="2:23" ht="22.5" customHeight="1">
      <c r="B62" s="47"/>
      <c r="C62" s="141" t="s">
        <v>300</v>
      </c>
      <c r="D62" s="84" t="s">
        <v>439</v>
      </c>
      <c r="E62" s="418">
        <v>103740</v>
      </c>
      <c r="F62" s="418">
        <v>103740</v>
      </c>
      <c r="G62" s="418">
        <v>103740</v>
      </c>
      <c r="H62" s="49"/>
      <c r="J62" s="1266"/>
      <c r="K62" s="1276"/>
      <c r="L62" s="369"/>
      <c r="M62" s="369"/>
      <c r="N62" s="382"/>
      <c r="O62" s="382"/>
      <c r="P62" s="382"/>
      <c r="Q62" s="382"/>
      <c r="R62" s="382"/>
      <c r="S62" s="382"/>
      <c r="T62" s="382"/>
      <c r="U62" s="382"/>
      <c r="V62" s="382"/>
      <c r="W62" s="383"/>
    </row>
    <row r="63" spans="2:23" ht="22.5" customHeight="1">
      <c r="B63" s="47"/>
      <c r="C63" s="138" t="s">
        <v>404</v>
      </c>
      <c r="D63" s="69" t="s">
        <v>441</v>
      </c>
      <c r="E63" s="410"/>
      <c r="F63" s="410"/>
      <c r="G63" s="414"/>
      <c r="H63" s="49"/>
      <c r="J63" s="1266"/>
      <c r="K63" s="1276"/>
      <c r="L63" s="369"/>
      <c r="M63" s="369"/>
      <c r="N63" s="382"/>
      <c r="O63" s="382"/>
      <c r="P63" s="382"/>
      <c r="Q63" s="382"/>
      <c r="R63" s="382"/>
      <c r="S63" s="382"/>
      <c r="T63" s="382"/>
      <c r="U63" s="382"/>
      <c r="V63" s="382"/>
      <c r="W63" s="383"/>
    </row>
    <row r="64" spans="2:23" ht="22.5" customHeight="1">
      <c r="B64" s="47"/>
      <c r="C64" s="138" t="s">
        <v>318</v>
      </c>
      <c r="D64" s="69" t="s">
        <v>442</v>
      </c>
      <c r="E64" s="410">
        <v>0.01</v>
      </c>
      <c r="F64" s="410">
        <v>0.01</v>
      </c>
      <c r="G64" s="414">
        <v>0.01</v>
      </c>
      <c r="H64" s="49"/>
      <c r="J64" s="1266"/>
      <c r="K64" s="1276"/>
      <c r="L64" s="369"/>
      <c r="M64" s="369"/>
      <c r="N64" s="382"/>
      <c r="O64" s="382"/>
      <c r="P64" s="382"/>
      <c r="Q64" s="382"/>
      <c r="R64" s="382"/>
      <c r="S64" s="382"/>
      <c r="T64" s="382"/>
      <c r="U64" s="382"/>
      <c r="V64" s="382"/>
      <c r="W64" s="383"/>
    </row>
    <row r="65" spans="2:23" ht="22.5" customHeight="1">
      <c r="B65" s="47"/>
      <c r="C65" s="136" t="s">
        <v>413</v>
      </c>
      <c r="D65" s="67" t="s">
        <v>443</v>
      </c>
      <c r="E65" s="129">
        <f>E66+SUM(E69:E74)</f>
        <v>13152653.24</v>
      </c>
      <c r="F65" s="129">
        <f>F66+SUM(F69:F74)</f>
        <v>14330723.760000002</v>
      </c>
      <c r="G65" s="307">
        <f>G66+SUM(G69:G74)</f>
        <v>12299887</v>
      </c>
      <c r="H65" s="49"/>
      <c r="J65" s="1266"/>
      <c r="K65" s="1276"/>
      <c r="L65" s="369"/>
      <c r="M65" s="369"/>
      <c r="N65" s="382"/>
      <c r="O65" s="382"/>
      <c r="P65" s="382"/>
      <c r="Q65" s="382"/>
      <c r="R65" s="382"/>
      <c r="S65" s="382"/>
      <c r="T65" s="382"/>
      <c r="U65" s="382"/>
      <c r="V65" s="382"/>
      <c r="W65" s="383"/>
    </row>
    <row r="66" spans="2:23" ht="22.5" customHeight="1">
      <c r="B66" s="47"/>
      <c r="C66" s="138" t="s">
        <v>297</v>
      </c>
      <c r="D66" s="69" t="s">
        <v>444</v>
      </c>
      <c r="E66" s="131">
        <f>E67+E68</f>
        <v>3090571.99</v>
      </c>
      <c r="F66" s="131">
        <f>F67+F68</f>
        <v>3868929.13</v>
      </c>
      <c r="G66" s="308">
        <f>G67+G68</f>
        <v>3370262.43</v>
      </c>
      <c r="H66" s="49"/>
      <c r="J66" s="1266"/>
      <c r="K66" s="1276"/>
      <c r="L66" s="369"/>
      <c r="M66" s="369"/>
      <c r="N66" s="382"/>
      <c r="O66" s="382"/>
      <c r="P66" s="382"/>
      <c r="Q66" s="382"/>
      <c r="R66" s="382"/>
      <c r="S66" s="382"/>
      <c r="T66" s="382"/>
      <c r="U66" s="382"/>
      <c r="V66" s="382"/>
      <c r="W66" s="383"/>
    </row>
    <row r="67" spans="2:23" ht="22.5" customHeight="1">
      <c r="B67" s="47"/>
      <c r="C67" s="141" t="s">
        <v>298</v>
      </c>
      <c r="D67" s="84" t="s">
        <v>445</v>
      </c>
      <c r="E67" s="418"/>
      <c r="F67" s="418"/>
      <c r="G67" s="650"/>
      <c r="H67" s="49"/>
      <c r="J67" s="1266"/>
      <c r="K67" s="1276"/>
      <c r="L67" s="369"/>
      <c r="M67" s="369"/>
      <c r="N67" s="382"/>
      <c r="O67" s="382"/>
      <c r="P67" s="382"/>
      <c r="Q67" s="382"/>
      <c r="R67" s="382"/>
      <c r="S67" s="382"/>
      <c r="T67" s="382"/>
      <c r="U67" s="382"/>
      <c r="V67" s="382"/>
      <c r="W67" s="383"/>
    </row>
    <row r="68" spans="2:23" ht="22.5" customHeight="1">
      <c r="B68" s="47"/>
      <c r="C68" s="141" t="s">
        <v>300</v>
      </c>
      <c r="D68" s="84" t="s">
        <v>446</v>
      </c>
      <c r="E68" s="418">
        <v>3090571.99</v>
      </c>
      <c r="F68" s="418">
        <v>3868929.13</v>
      </c>
      <c r="G68" s="650">
        <f>3220262.43+150000</f>
        <v>3370262.43</v>
      </c>
      <c r="H68" s="49"/>
      <c r="J68" s="1266"/>
      <c r="K68" s="1276"/>
      <c r="L68" s="369"/>
      <c r="M68" s="369"/>
      <c r="N68" s="382"/>
      <c r="O68" s="382"/>
      <c r="P68" s="382"/>
      <c r="Q68" s="382"/>
      <c r="R68" s="382"/>
      <c r="S68" s="382"/>
      <c r="T68" s="382"/>
      <c r="U68" s="382"/>
      <c r="V68" s="382"/>
      <c r="W68" s="383"/>
    </row>
    <row r="69" spans="2:23" ht="22.5" customHeight="1">
      <c r="B69" s="47"/>
      <c r="C69" s="138" t="s">
        <v>304</v>
      </c>
      <c r="D69" s="69" t="s">
        <v>447</v>
      </c>
      <c r="E69" s="410">
        <v>4918128.2</v>
      </c>
      <c r="F69" s="410">
        <v>5073867.34</v>
      </c>
      <c r="G69" s="414">
        <v>4234985.26</v>
      </c>
      <c r="H69" s="49"/>
      <c r="J69" s="1266"/>
      <c r="K69" s="1276"/>
      <c r="L69" s="369"/>
      <c r="M69" s="369"/>
      <c r="N69" s="382"/>
      <c r="O69" s="382"/>
      <c r="P69" s="382"/>
      <c r="Q69" s="382"/>
      <c r="R69" s="382"/>
      <c r="S69" s="382"/>
      <c r="T69" s="382"/>
      <c r="U69" s="382"/>
      <c r="V69" s="382"/>
      <c r="W69" s="383"/>
    </row>
    <row r="70" spans="2:23" ht="22.5" customHeight="1">
      <c r="B70" s="47"/>
      <c r="C70" s="138" t="s">
        <v>306</v>
      </c>
      <c r="D70" s="69" t="s">
        <v>448</v>
      </c>
      <c r="E70" s="410">
        <v>2008299.5</v>
      </c>
      <c r="F70" s="410">
        <v>2504417.45</v>
      </c>
      <c r="G70" s="414">
        <v>2398759.96</v>
      </c>
      <c r="H70" s="49"/>
      <c r="J70" s="1266"/>
      <c r="K70" s="1276"/>
      <c r="L70" s="369"/>
      <c r="M70" s="369"/>
      <c r="N70" s="382"/>
      <c r="O70" s="382"/>
      <c r="P70" s="382"/>
      <c r="Q70" s="382"/>
      <c r="R70" s="382"/>
      <c r="S70" s="382"/>
      <c r="T70" s="382"/>
      <c r="U70" s="382"/>
      <c r="V70" s="382"/>
      <c r="W70" s="383"/>
    </row>
    <row r="71" spans="2:23" ht="22.5" customHeight="1">
      <c r="B71" s="47"/>
      <c r="C71" s="138" t="s">
        <v>308</v>
      </c>
      <c r="D71" s="69" t="s">
        <v>277</v>
      </c>
      <c r="E71" s="410">
        <v>5723.6</v>
      </c>
      <c r="F71" s="410">
        <v>2982.41</v>
      </c>
      <c r="G71" s="410">
        <v>2982.41</v>
      </c>
      <c r="H71" s="49"/>
      <c r="J71" s="1266"/>
      <c r="K71" s="1276"/>
      <c r="L71" s="369"/>
      <c r="M71" s="369"/>
      <c r="N71" s="382"/>
      <c r="O71" s="382"/>
      <c r="P71" s="382"/>
      <c r="Q71" s="382"/>
      <c r="R71" s="382"/>
      <c r="S71" s="382"/>
      <c r="T71" s="382"/>
      <c r="U71" s="382"/>
      <c r="V71" s="382"/>
      <c r="W71" s="383"/>
    </row>
    <row r="72" spans="2:23" ht="22.5" customHeight="1">
      <c r="B72" s="47"/>
      <c r="C72" s="138" t="s">
        <v>404</v>
      </c>
      <c r="D72" s="69" t="s">
        <v>449</v>
      </c>
      <c r="E72" s="410"/>
      <c r="F72" s="410"/>
      <c r="G72" s="414"/>
      <c r="H72" s="49"/>
      <c r="J72" s="1266"/>
      <c r="K72" s="1276"/>
      <c r="L72" s="369"/>
      <c r="M72" s="369"/>
      <c r="N72" s="382"/>
      <c r="O72" s="382"/>
      <c r="P72" s="382"/>
      <c r="Q72" s="382"/>
      <c r="R72" s="382"/>
      <c r="S72" s="382"/>
      <c r="T72" s="382"/>
      <c r="U72" s="382"/>
      <c r="V72" s="382"/>
      <c r="W72" s="383"/>
    </row>
    <row r="73" spans="2:23" ht="22.5" customHeight="1">
      <c r="B73" s="47"/>
      <c r="C73" s="138" t="s">
        <v>318</v>
      </c>
      <c r="D73" s="69" t="s">
        <v>450</v>
      </c>
      <c r="E73" s="410">
        <v>3129929.95</v>
      </c>
      <c r="F73" s="410">
        <f>2441527.43+439000</f>
        <v>2880527.43</v>
      </c>
      <c r="G73" s="414">
        <v>2292896.94</v>
      </c>
      <c r="H73" s="49"/>
      <c r="J73" s="1266"/>
      <c r="K73" s="1276"/>
      <c r="L73" s="369"/>
      <c r="M73" s="369"/>
      <c r="N73" s="382"/>
      <c r="O73" s="382"/>
      <c r="P73" s="382"/>
      <c r="Q73" s="382"/>
      <c r="R73" s="382"/>
      <c r="S73" s="382"/>
      <c r="T73" s="382"/>
      <c r="U73" s="382"/>
      <c r="V73" s="382"/>
      <c r="W73" s="383"/>
    </row>
    <row r="74" spans="2:23" ht="22.5" customHeight="1">
      <c r="B74" s="47"/>
      <c r="C74" s="138" t="s">
        <v>323</v>
      </c>
      <c r="D74" s="69" t="s">
        <v>451</v>
      </c>
      <c r="E74" s="410"/>
      <c r="F74" s="410"/>
      <c r="G74" s="414"/>
      <c r="H74" s="49"/>
      <c r="J74" s="1266"/>
      <c r="K74" s="1276"/>
      <c r="L74" s="369"/>
      <c r="M74" s="369"/>
      <c r="N74" s="382"/>
      <c r="O74" s="382"/>
      <c r="P74" s="382"/>
      <c r="Q74" s="382"/>
      <c r="R74" s="382"/>
      <c r="S74" s="382"/>
      <c r="T74" s="382"/>
      <c r="U74" s="382"/>
      <c r="V74" s="382"/>
      <c r="W74" s="383"/>
    </row>
    <row r="75" spans="2:23" ht="22.5" customHeight="1">
      <c r="B75" s="47"/>
      <c r="C75" s="136" t="s">
        <v>417</v>
      </c>
      <c r="D75" s="67" t="s">
        <v>452</v>
      </c>
      <c r="E75" s="129">
        <f>SUM(E76:E81)</f>
        <v>3510395.43</v>
      </c>
      <c r="F75" s="129">
        <f>SUM(F76:F81)</f>
        <v>2725282.45</v>
      </c>
      <c r="G75" s="307">
        <f>SUM(G76:G81)</f>
        <v>3454178.2800000003</v>
      </c>
      <c r="H75" s="49"/>
      <c r="J75" s="1266"/>
      <c r="K75" s="1276"/>
      <c r="L75" s="369"/>
      <c r="M75" s="369"/>
      <c r="N75" s="382"/>
      <c r="O75" s="382"/>
      <c r="P75" s="382"/>
      <c r="Q75" s="382"/>
      <c r="R75" s="382"/>
      <c r="S75" s="382"/>
      <c r="T75" s="382"/>
      <c r="U75" s="382"/>
      <c r="V75" s="382"/>
      <c r="W75" s="383"/>
    </row>
    <row r="76" spans="2:23" ht="22.5" customHeight="1">
      <c r="B76" s="47"/>
      <c r="C76" s="138" t="s">
        <v>297</v>
      </c>
      <c r="D76" s="69" t="s">
        <v>419</v>
      </c>
      <c r="E76" s="410"/>
      <c r="F76" s="410"/>
      <c r="G76" s="414"/>
      <c r="H76" s="49"/>
      <c r="J76" s="1266"/>
      <c r="K76" s="1276"/>
      <c r="L76" s="369"/>
      <c r="M76" s="369"/>
      <c r="N76" s="382"/>
      <c r="O76" s="382"/>
      <c r="P76" s="382"/>
      <c r="Q76" s="382"/>
      <c r="R76" s="382"/>
      <c r="S76" s="382"/>
      <c r="T76" s="382"/>
      <c r="U76" s="382"/>
      <c r="V76" s="382"/>
      <c r="W76" s="383"/>
    </row>
    <row r="77" spans="2:23" ht="22.5" customHeight="1">
      <c r="B77" s="47"/>
      <c r="C77" s="138" t="s">
        <v>304</v>
      </c>
      <c r="D77" s="69" t="s">
        <v>420</v>
      </c>
      <c r="E77" s="410">
        <v>3065778.62</v>
      </c>
      <c r="F77" s="410">
        <v>2665778.6</v>
      </c>
      <c r="G77" s="414">
        <v>3294674.43</v>
      </c>
      <c r="H77" s="49"/>
      <c r="J77" s="381"/>
      <c r="K77" s="1276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3"/>
    </row>
    <row r="78" spans="2:23" ht="22.5" customHeight="1">
      <c r="B78" s="47"/>
      <c r="C78" s="138" t="s">
        <v>306</v>
      </c>
      <c r="D78" s="69" t="s">
        <v>421</v>
      </c>
      <c r="E78" s="410"/>
      <c r="F78" s="410"/>
      <c r="G78" s="414"/>
      <c r="H78" s="49"/>
      <c r="J78" s="381"/>
      <c r="K78" s="1276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3"/>
    </row>
    <row r="79" spans="2:23" ht="22.5" customHeight="1">
      <c r="B79" s="47"/>
      <c r="C79" s="138" t="s">
        <v>308</v>
      </c>
      <c r="D79" s="69" t="s">
        <v>422</v>
      </c>
      <c r="E79" s="410"/>
      <c r="F79" s="410"/>
      <c r="G79" s="414"/>
      <c r="H79" s="49"/>
      <c r="J79" s="381"/>
      <c r="K79" s="1276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3"/>
    </row>
    <row r="80" spans="2:23" ht="22.5" customHeight="1">
      <c r="B80" s="47"/>
      <c r="C80" s="138" t="s">
        <v>404</v>
      </c>
      <c r="D80" s="69" t="s">
        <v>423</v>
      </c>
      <c r="E80" s="410">
        <v>444616.81</v>
      </c>
      <c r="F80" s="410">
        <v>59503.85</v>
      </c>
      <c r="G80" s="414">
        <v>159503.85</v>
      </c>
      <c r="H80" s="49"/>
      <c r="J80" s="381"/>
      <c r="K80" s="1276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3"/>
    </row>
    <row r="81" spans="2:23" ht="22.5" customHeight="1">
      <c r="B81" s="47"/>
      <c r="C81" s="138" t="s">
        <v>318</v>
      </c>
      <c r="D81" s="69" t="s">
        <v>424</v>
      </c>
      <c r="E81" s="410"/>
      <c r="F81" s="410"/>
      <c r="G81" s="414"/>
      <c r="H81" s="49"/>
      <c r="J81" s="381"/>
      <c r="K81" s="1276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3"/>
    </row>
    <row r="82" spans="2:23" ht="22.5" customHeight="1">
      <c r="B82" s="47"/>
      <c r="C82" s="136" t="s">
        <v>425</v>
      </c>
      <c r="D82" s="67" t="s">
        <v>453</v>
      </c>
      <c r="E82" s="129">
        <f>SUM(E83:E88)</f>
        <v>23459502.69</v>
      </c>
      <c r="F82" s="129">
        <f>SUM(F83:F88)</f>
        <v>18970440.76</v>
      </c>
      <c r="G82" s="307">
        <f>SUM(G83:G88)</f>
        <v>17291230</v>
      </c>
      <c r="H82" s="49"/>
      <c r="J82" s="381"/>
      <c r="K82" s="1276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3"/>
    </row>
    <row r="83" spans="2:23" ht="22.5" customHeight="1">
      <c r="B83" s="47"/>
      <c r="C83" s="138" t="s">
        <v>297</v>
      </c>
      <c r="D83" s="69" t="s">
        <v>419</v>
      </c>
      <c r="E83" s="410"/>
      <c r="F83" s="410"/>
      <c r="G83" s="414"/>
      <c r="H83" s="49"/>
      <c r="J83" s="381"/>
      <c r="K83" s="1276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3"/>
    </row>
    <row r="84" spans="2:23" ht="22.5" customHeight="1">
      <c r="B84" s="47"/>
      <c r="C84" s="138" t="s">
        <v>304</v>
      </c>
      <c r="D84" s="69" t="s">
        <v>420</v>
      </c>
      <c r="E84" s="410">
        <v>23444067.01</v>
      </c>
      <c r="F84" s="410">
        <v>18943957.01</v>
      </c>
      <c r="G84" s="414">
        <v>17286830</v>
      </c>
      <c r="H84" s="49"/>
      <c r="J84" s="381"/>
      <c r="K84" s="1276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3"/>
    </row>
    <row r="85" spans="2:23" ht="22.5" customHeight="1">
      <c r="B85" s="47"/>
      <c r="C85" s="138" t="s">
        <v>306</v>
      </c>
      <c r="D85" s="69" t="s">
        <v>421</v>
      </c>
      <c r="E85" s="410">
        <v>4400</v>
      </c>
      <c r="F85" s="410">
        <v>4400</v>
      </c>
      <c r="G85" s="414">
        <v>4400</v>
      </c>
      <c r="H85" s="49"/>
      <c r="J85" s="381"/>
      <c r="K85" s="1276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3"/>
    </row>
    <row r="86" spans="2:23" ht="22.5" customHeight="1">
      <c r="B86" s="47"/>
      <c r="C86" s="138" t="s">
        <v>308</v>
      </c>
      <c r="D86" s="69" t="s">
        <v>422</v>
      </c>
      <c r="E86" s="410"/>
      <c r="F86" s="410"/>
      <c r="G86" s="414"/>
      <c r="H86" s="49"/>
      <c r="J86" s="381"/>
      <c r="K86" s="1276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3"/>
    </row>
    <row r="87" spans="2:23" ht="22.5" customHeight="1">
      <c r="B87" s="47"/>
      <c r="C87" s="138" t="s">
        <v>404</v>
      </c>
      <c r="D87" s="69" t="s">
        <v>423</v>
      </c>
      <c r="E87" s="410">
        <v>11035.68</v>
      </c>
      <c r="F87" s="410">
        <v>22083.75</v>
      </c>
      <c r="G87" s="414"/>
      <c r="H87" s="49"/>
      <c r="J87" s="381"/>
      <c r="K87" s="1276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3"/>
    </row>
    <row r="88" spans="2:23" ht="22.5" customHeight="1">
      <c r="B88" s="47"/>
      <c r="C88" s="138" t="s">
        <v>318</v>
      </c>
      <c r="D88" s="69" t="s">
        <v>424</v>
      </c>
      <c r="E88" s="410"/>
      <c r="F88" s="410"/>
      <c r="G88" s="414"/>
      <c r="H88" s="49"/>
      <c r="J88" s="381"/>
      <c r="K88" s="1276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3"/>
    </row>
    <row r="89" spans="2:23" s="72" customFormat="1" ht="22.5" customHeight="1">
      <c r="B89" s="23"/>
      <c r="C89" s="136" t="s">
        <v>428</v>
      </c>
      <c r="D89" s="67" t="s">
        <v>454</v>
      </c>
      <c r="E89" s="411">
        <v>50000</v>
      </c>
      <c r="F89" s="411">
        <v>50000</v>
      </c>
      <c r="G89" s="415">
        <v>40000</v>
      </c>
      <c r="H89" s="58"/>
      <c r="J89" s="381"/>
      <c r="K89" s="1276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3"/>
    </row>
    <row r="90" spans="2:23" ht="22.5" customHeight="1">
      <c r="B90" s="47"/>
      <c r="C90" s="136" t="s">
        <v>430</v>
      </c>
      <c r="D90" s="67" t="s">
        <v>455</v>
      </c>
      <c r="E90" s="129">
        <f>SUM(E91:E92)</f>
        <v>26425943.92</v>
      </c>
      <c r="F90" s="129">
        <f>SUM(F91:F92)</f>
        <v>3155760.92</v>
      </c>
      <c r="G90" s="307">
        <f>SUM(G91:G92)</f>
        <v>2181702.04</v>
      </c>
      <c r="H90" s="49"/>
      <c r="J90" s="381"/>
      <c r="K90" s="1276"/>
      <c r="L90" s="382"/>
      <c r="M90" s="1162"/>
      <c r="N90" s="382"/>
      <c r="O90" s="382"/>
      <c r="P90" s="382"/>
      <c r="Q90" s="382"/>
      <c r="R90" s="382"/>
      <c r="S90" s="382"/>
      <c r="T90" s="382"/>
      <c r="U90" s="382"/>
      <c r="V90" s="382"/>
      <c r="W90" s="383"/>
    </row>
    <row r="91" spans="2:23" ht="22.5" customHeight="1">
      <c r="B91" s="47"/>
      <c r="C91" s="138" t="s">
        <v>297</v>
      </c>
      <c r="D91" s="69" t="s">
        <v>456</v>
      </c>
      <c r="E91" s="410">
        <v>26425943.92</v>
      </c>
      <c r="F91" s="410">
        <v>3155760.92</v>
      </c>
      <c r="G91" s="414">
        <f>4211727.86-375000-1873025.82+218000</f>
        <v>2181702.04</v>
      </c>
      <c r="H91" s="49"/>
      <c r="J91" s="381"/>
      <c r="K91" s="1276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3"/>
    </row>
    <row r="92" spans="2:23" ht="22.5" customHeight="1">
      <c r="B92" s="47"/>
      <c r="C92" s="309" t="s">
        <v>304</v>
      </c>
      <c r="D92" s="310" t="s">
        <v>457</v>
      </c>
      <c r="E92" s="416"/>
      <c r="F92" s="416"/>
      <c r="G92" s="417"/>
      <c r="H92" s="49"/>
      <c r="J92" s="381"/>
      <c r="K92" s="1276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3"/>
    </row>
    <row r="93" spans="2:23" ht="22.5" customHeight="1">
      <c r="B93" s="47"/>
      <c r="C93" s="300"/>
      <c r="D93" s="61"/>
      <c r="E93" s="132"/>
      <c r="F93" s="132"/>
      <c r="G93" s="301"/>
      <c r="H93" s="49"/>
      <c r="J93" s="381"/>
      <c r="K93" s="1276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3"/>
    </row>
    <row r="94" spans="2:23" s="79" customFormat="1" ht="22.5" customHeight="1" thickBot="1">
      <c r="B94" s="77"/>
      <c r="C94" s="142" t="s">
        <v>462</v>
      </c>
      <c r="D94" s="76"/>
      <c r="E94" s="133">
        <f>E50+E16</f>
        <v>209077558.44</v>
      </c>
      <c r="F94" s="133">
        <f>F50+F16</f>
        <v>183571967.98000002</v>
      </c>
      <c r="G94" s="302">
        <f>G50+G16</f>
        <v>178027983.5</v>
      </c>
      <c r="H94" s="78"/>
      <c r="J94" s="381"/>
      <c r="K94" s="1276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3"/>
    </row>
    <row r="95" spans="2:23" ht="22.5" customHeight="1" thickBot="1">
      <c r="B95" s="51"/>
      <c r="C95" s="1299"/>
      <c r="D95" s="1299"/>
      <c r="E95" s="1299"/>
      <c r="F95" s="1299"/>
      <c r="G95" s="53"/>
      <c r="H95" s="54"/>
      <c r="J95" s="384"/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385"/>
      <c r="V95" s="385"/>
      <c r="W95" s="386"/>
    </row>
    <row r="96" spans="3:9" ht="22.5" customHeight="1">
      <c r="C96" s="43"/>
      <c r="D96" s="43"/>
      <c r="E96" s="43"/>
      <c r="F96" s="43"/>
      <c r="G96" s="43"/>
      <c r="I96" s="41" t="s">
        <v>83</v>
      </c>
    </row>
    <row r="97" spans="3:7" ht="12.75">
      <c r="C97" s="36" t="s">
        <v>286</v>
      </c>
      <c r="D97" s="43"/>
      <c r="E97" s="43"/>
      <c r="F97" s="43"/>
      <c r="G97" s="40" t="s">
        <v>904</v>
      </c>
    </row>
    <row r="98" spans="3:7" ht="12.75">
      <c r="C98" s="37" t="s">
        <v>287</v>
      </c>
      <c r="D98" s="43"/>
      <c r="E98" s="43"/>
      <c r="F98" s="43"/>
      <c r="G98" s="43"/>
    </row>
    <row r="99" spans="3:7" ht="12.75">
      <c r="C99" s="37" t="s">
        <v>288</v>
      </c>
      <c r="D99" s="43"/>
      <c r="E99" s="43"/>
      <c r="F99" s="43"/>
      <c r="G99" s="43"/>
    </row>
    <row r="100" spans="3:7" ht="12.75">
      <c r="C100" s="37" t="s">
        <v>289</v>
      </c>
      <c r="D100" s="43"/>
      <c r="E100" s="43"/>
      <c r="F100" s="43"/>
      <c r="G100" s="43"/>
    </row>
    <row r="101" spans="3:7" ht="12.75">
      <c r="C101" s="37" t="s">
        <v>290</v>
      </c>
      <c r="D101" s="43"/>
      <c r="E101" s="43"/>
      <c r="F101" s="43"/>
      <c r="G101" s="43"/>
    </row>
    <row r="102" spans="3:7" ht="66" customHeight="1">
      <c r="C102" s="43"/>
      <c r="D102" s="43"/>
      <c r="E102" s="654"/>
      <c r="F102" s="652"/>
      <c r="G102" s="65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SheetLayoutView="100" zoomScalePageLayoutView="0" workbookViewId="0" topLeftCell="A1">
      <selection activeCell="Q17" sqref="Q17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41" t="s">
        <v>82</v>
      </c>
    </row>
    <row r="5" spans="2:23" ht="9" customHeight="1">
      <c r="B5" s="44"/>
      <c r="C5" s="45"/>
      <c r="D5" s="45"/>
      <c r="E5" s="45"/>
      <c r="F5" s="45"/>
      <c r="G5" s="45"/>
      <c r="H5" s="46"/>
      <c r="J5" s="364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</row>
    <row r="6" spans="2:23" ht="30" customHeight="1">
      <c r="B6" s="47"/>
      <c r="C6" s="1" t="s">
        <v>216</v>
      </c>
      <c r="D6" s="43"/>
      <c r="E6" s="43"/>
      <c r="F6" s="43"/>
      <c r="G6" s="1285">
        <f>ejercicio</f>
        <v>2020</v>
      </c>
      <c r="H6" s="49"/>
      <c r="J6" s="367"/>
      <c r="K6" s="368" t="s">
        <v>906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</row>
    <row r="7" spans="2:23" ht="30" customHeight="1">
      <c r="B7" s="47"/>
      <c r="C7" s="1" t="s">
        <v>217</v>
      </c>
      <c r="D7" s="43"/>
      <c r="E7" s="43"/>
      <c r="F7" s="43"/>
      <c r="G7" s="1285"/>
      <c r="H7" s="49"/>
      <c r="J7" s="367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70"/>
    </row>
    <row r="8" spans="2:23" ht="30" customHeight="1">
      <c r="B8" s="47"/>
      <c r="C8" s="48"/>
      <c r="D8" s="43"/>
      <c r="E8" s="43"/>
      <c r="F8" s="43"/>
      <c r="G8" s="50"/>
      <c r="H8" s="49"/>
      <c r="J8" s="367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70"/>
    </row>
    <row r="9" spans="2:23" s="57" customFormat="1" ht="30" customHeight="1">
      <c r="B9" s="55"/>
      <c r="C9" s="38" t="s">
        <v>218</v>
      </c>
      <c r="D9" s="1300" t="str">
        <f>Entidad</f>
        <v>INSTITUTO TECNOLOGICO Y DE ENERGIAS RENOVABLES S.A.</v>
      </c>
      <c r="E9" s="1300"/>
      <c r="F9" s="1300"/>
      <c r="G9" s="1300"/>
      <c r="H9" s="56"/>
      <c r="J9" s="371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</row>
    <row r="10" spans="2:23" ht="6.75" customHeight="1">
      <c r="B10" s="47"/>
      <c r="C10" s="43"/>
      <c r="D10" s="43"/>
      <c r="E10" s="43"/>
      <c r="F10" s="43"/>
      <c r="G10" s="43"/>
      <c r="H10" s="49"/>
      <c r="J10" s="367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70"/>
    </row>
    <row r="11" spans="2:23" s="59" customFormat="1" ht="30" customHeight="1">
      <c r="B11" s="23"/>
      <c r="C11" s="11" t="s">
        <v>464</v>
      </c>
      <c r="D11" s="11"/>
      <c r="E11" s="11"/>
      <c r="F11" s="11"/>
      <c r="G11" s="11"/>
      <c r="H11" s="58"/>
      <c r="J11" s="374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6"/>
    </row>
    <row r="12" spans="2:23" s="59" customFormat="1" ht="30" customHeight="1">
      <c r="B12" s="23"/>
      <c r="C12" s="63"/>
      <c r="D12" s="63"/>
      <c r="E12" s="63"/>
      <c r="F12" s="63"/>
      <c r="G12" s="63"/>
      <c r="H12" s="58"/>
      <c r="J12" s="374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6"/>
    </row>
    <row r="13" spans="2:23" ht="22.5" customHeight="1">
      <c r="B13" s="47"/>
      <c r="C13" s="200"/>
      <c r="D13" s="201"/>
      <c r="E13" s="202" t="s">
        <v>392</v>
      </c>
      <c r="F13" s="202" t="s">
        <v>393</v>
      </c>
      <c r="G13" s="202" t="s">
        <v>394</v>
      </c>
      <c r="H13" s="49"/>
      <c r="J13" s="367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70"/>
    </row>
    <row r="14" spans="2:23" ht="22.5" customHeight="1">
      <c r="B14" s="47"/>
      <c r="C14" s="203" t="s">
        <v>601</v>
      </c>
      <c r="D14" s="65"/>
      <c r="E14" s="204">
        <f>ejercicio-2</f>
        <v>2018</v>
      </c>
      <c r="F14" s="204">
        <f>ejercicio-1</f>
        <v>2019</v>
      </c>
      <c r="G14" s="204">
        <f>ejercicio</f>
        <v>2020</v>
      </c>
      <c r="H14" s="49"/>
      <c r="J14" s="367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70"/>
    </row>
    <row r="15" spans="2:23" ht="22.5" customHeight="1">
      <c r="B15" s="47"/>
      <c r="C15" s="134"/>
      <c r="D15" s="83"/>
      <c r="E15" s="127"/>
      <c r="F15" s="127"/>
      <c r="G15" s="127"/>
      <c r="H15" s="49"/>
      <c r="J15" s="367"/>
      <c r="K15" s="1283" t="s">
        <v>1234</v>
      </c>
      <c r="L15" s="1283" t="s">
        <v>1230</v>
      </c>
      <c r="M15" s="369"/>
      <c r="N15" s="1283" t="s">
        <v>1231</v>
      </c>
      <c r="O15" s="369"/>
      <c r="P15" s="1283" t="s">
        <v>1232</v>
      </c>
      <c r="Q15" s="1283" t="s">
        <v>1233</v>
      </c>
      <c r="R15" s="369"/>
      <c r="S15" s="369"/>
      <c r="T15" s="369"/>
      <c r="U15" s="369"/>
      <c r="V15" s="369"/>
      <c r="W15" s="370"/>
    </row>
    <row r="16" spans="2:23" ht="22.5" customHeight="1">
      <c r="B16" s="47"/>
      <c r="C16" s="135" t="s">
        <v>295</v>
      </c>
      <c r="D16" s="81" t="s">
        <v>465</v>
      </c>
      <c r="E16" s="128">
        <f>E17+E35+E41</f>
        <v>127392632.99</v>
      </c>
      <c r="F16" s="128">
        <f>F17+F35+F41</f>
        <v>156431474.49</v>
      </c>
      <c r="G16" s="128">
        <f>G17+G35+G41</f>
        <v>159507055.3</v>
      </c>
      <c r="H16" s="49"/>
      <c r="J16" s="1266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70"/>
    </row>
    <row r="17" spans="2:23" ht="22.5" customHeight="1">
      <c r="B17" s="47"/>
      <c r="C17" s="136" t="s">
        <v>345</v>
      </c>
      <c r="D17" s="67" t="s">
        <v>466</v>
      </c>
      <c r="E17" s="129">
        <f>+E18+E21+E22+E27+E28+E31+E32+E33+E34</f>
        <v>117120768.78999999</v>
      </c>
      <c r="F17" s="129">
        <f>+F18+F21+F22+F27+F28+F31+F32+F33+F34</f>
        <v>146338451.6</v>
      </c>
      <c r="G17" s="129">
        <f>+G18+G21+G22+G27+G28+G31+G32+G33+G34</f>
        <v>148911454.60000002</v>
      </c>
      <c r="H17" s="49"/>
      <c r="J17" s="1282" t="s">
        <v>1228</v>
      </c>
      <c r="K17" s="369">
        <v>12574</v>
      </c>
      <c r="L17" s="369"/>
      <c r="M17" s="369"/>
      <c r="N17" s="369"/>
      <c r="O17" s="369"/>
      <c r="P17" s="369">
        <f>K17*N18</f>
        <v>42931.06955708164</v>
      </c>
      <c r="Q17" s="369">
        <f>P17</f>
        <v>42931.06955708164</v>
      </c>
      <c r="R17" s="369"/>
      <c r="S17" s="369"/>
      <c r="T17" s="369"/>
      <c r="U17" s="369"/>
      <c r="V17" s="369"/>
      <c r="W17" s="370"/>
    </row>
    <row r="18" spans="2:23" ht="22.5" customHeight="1">
      <c r="B18" s="47"/>
      <c r="C18" s="136" t="s">
        <v>398</v>
      </c>
      <c r="D18" s="67" t="s">
        <v>467</v>
      </c>
      <c r="E18" s="129">
        <f>SUM(E19:E20)</f>
        <v>27816083</v>
      </c>
      <c r="F18" s="129">
        <f>SUM(F19:F20)</f>
        <v>32970078.7</v>
      </c>
      <c r="G18" s="129">
        <f>SUM(G19:G20)</f>
        <v>32970078.7</v>
      </c>
      <c r="H18" s="49"/>
      <c r="J18" s="1282" t="s">
        <v>1229</v>
      </c>
      <c r="K18" s="369">
        <f>527705+8308</f>
        <v>536013</v>
      </c>
      <c r="L18" s="369">
        <v>1830094.75</v>
      </c>
      <c r="M18" s="369"/>
      <c r="N18" s="369">
        <f>L18/K18</f>
        <v>3.4142730680039475</v>
      </c>
      <c r="O18" s="369"/>
      <c r="P18" s="369"/>
      <c r="Q18" s="369">
        <f>L18</f>
        <v>1830094.75</v>
      </c>
      <c r="R18" s="369"/>
      <c r="S18" s="369"/>
      <c r="T18" s="369"/>
      <c r="U18" s="369"/>
      <c r="V18" s="369"/>
      <c r="W18" s="370"/>
    </row>
    <row r="19" spans="2:23" ht="22.5" customHeight="1">
      <c r="B19" s="47"/>
      <c r="C19" s="137" t="s">
        <v>297</v>
      </c>
      <c r="D19" s="68" t="s">
        <v>468</v>
      </c>
      <c r="E19" s="409">
        <v>27816083</v>
      </c>
      <c r="F19" s="409">
        <v>32970078.7</v>
      </c>
      <c r="G19" s="409">
        <v>32970078.7</v>
      </c>
      <c r="H19" s="49"/>
      <c r="J19" s="1266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70"/>
    </row>
    <row r="20" spans="2:23" ht="22.5" customHeight="1">
      <c r="B20" s="47"/>
      <c r="C20" s="138" t="s">
        <v>304</v>
      </c>
      <c r="D20" s="69" t="s">
        <v>469</v>
      </c>
      <c r="E20" s="410"/>
      <c r="F20" s="410"/>
      <c r="G20" s="410"/>
      <c r="H20" s="49"/>
      <c r="J20" s="1282" t="s">
        <v>730</v>
      </c>
      <c r="K20" s="369">
        <f>K17+K18</f>
        <v>548587</v>
      </c>
      <c r="L20" s="369"/>
      <c r="M20" s="369"/>
      <c r="N20" s="369"/>
      <c r="O20" s="369"/>
      <c r="P20" s="369"/>
      <c r="Q20" s="369">
        <f>Q17+Q18</f>
        <v>1873025.8195570817</v>
      </c>
      <c r="R20" s="369">
        <f>K20*N18</f>
        <v>1873025.8195570814</v>
      </c>
      <c r="S20" s="369"/>
      <c r="T20" s="369"/>
      <c r="U20" s="369"/>
      <c r="V20" s="369"/>
      <c r="W20" s="370"/>
    </row>
    <row r="21" spans="2:23" ht="22.5" customHeight="1">
      <c r="B21" s="47"/>
      <c r="C21" s="136" t="s">
        <v>408</v>
      </c>
      <c r="D21" s="67" t="s">
        <v>470</v>
      </c>
      <c r="E21" s="411">
        <v>1608057.62</v>
      </c>
      <c r="F21" s="411">
        <v>20489013.52</v>
      </c>
      <c r="G21" s="411">
        <v>20489013.52</v>
      </c>
      <c r="H21" s="49"/>
      <c r="J21" s="1266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</row>
    <row r="22" spans="2:23" ht="22.5" customHeight="1">
      <c r="B22" s="47"/>
      <c r="C22" s="136" t="s">
        <v>413</v>
      </c>
      <c r="D22" s="67" t="s">
        <v>471</v>
      </c>
      <c r="E22" s="129">
        <f>SUM(E23:E26)</f>
        <v>78941596.66999999</v>
      </c>
      <c r="F22" s="129">
        <f>SUM(F23:F26)</f>
        <v>88663815.9</v>
      </c>
      <c r="G22" s="129">
        <f>SUM(G23:G26)</f>
        <v>91008495.58000001</v>
      </c>
      <c r="H22" s="49"/>
      <c r="J22" s="1266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70"/>
    </row>
    <row r="23" spans="2:23" ht="22.5" customHeight="1">
      <c r="B23" s="47"/>
      <c r="C23" s="137" t="s">
        <v>297</v>
      </c>
      <c r="D23" s="68" t="s">
        <v>472</v>
      </c>
      <c r="E23" s="409">
        <v>3504602.1</v>
      </c>
      <c r="F23" s="409">
        <v>4580321.45</v>
      </c>
      <c r="G23" s="409">
        <v>5002092</v>
      </c>
      <c r="H23" s="49"/>
      <c r="J23" s="1266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70"/>
    </row>
    <row r="24" spans="2:23" ht="22.5" customHeight="1">
      <c r="B24" s="47"/>
      <c r="C24" s="138" t="s">
        <v>304</v>
      </c>
      <c r="D24" s="69" t="s">
        <v>473</v>
      </c>
      <c r="E24" s="410">
        <v>75436994.57</v>
      </c>
      <c r="F24" s="410">
        <v>84083494.45</v>
      </c>
      <c r="G24" s="410">
        <f>87879429.4-1873025.82</f>
        <v>86006403.58000001</v>
      </c>
      <c r="H24" s="49"/>
      <c r="J24" s="1266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70"/>
    </row>
    <row r="25" spans="2:23" ht="22.5" customHeight="1">
      <c r="B25" s="47"/>
      <c r="C25" s="138" t="s">
        <v>306</v>
      </c>
      <c r="D25" s="69" t="s">
        <v>474</v>
      </c>
      <c r="E25" s="410"/>
      <c r="F25" s="410"/>
      <c r="G25" s="410"/>
      <c r="H25" s="49"/>
      <c r="J25" s="1266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70"/>
    </row>
    <row r="26" spans="2:23" ht="22.5" customHeight="1">
      <c r="B26" s="47"/>
      <c r="C26" s="138" t="s">
        <v>308</v>
      </c>
      <c r="D26" s="69" t="s">
        <v>529</v>
      </c>
      <c r="E26" s="410"/>
      <c r="F26" s="410"/>
      <c r="G26" s="410"/>
      <c r="H26" s="49"/>
      <c r="J26" s="1266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70"/>
    </row>
    <row r="27" spans="2:23" ht="22.5" customHeight="1">
      <c r="B27" s="47"/>
      <c r="C27" s="136" t="s">
        <v>417</v>
      </c>
      <c r="D27" s="67" t="s">
        <v>475</v>
      </c>
      <c r="E27" s="411">
        <v>-2000000</v>
      </c>
      <c r="F27" s="411">
        <v>0</v>
      </c>
      <c r="G27" s="411"/>
      <c r="H27" s="49"/>
      <c r="J27" s="1266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</row>
    <row r="28" spans="2:23" ht="22.5" customHeight="1">
      <c r="B28" s="47"/>
      <c r="C28" s="136" t="s">
        <v>425</v>
      </c>
      <c r="D28" s="67" t="s">
        <v>476</v>
      </c>
      <c r="E28" s="129">
        <f>SUM(E29:E30)</f>
        <v>-2162.03</v>
      </c>
      <c r="F28" s="129">
        <f>SUM(F29:F30)</f>
        <v>-2162.03</v>
      </c>
      <c r="G28" s="129">
        <f>SUM(G29:G30)</f>
        <v>-2162.03</v>
      </c>
      <c r="H28" s="49"/>
      <c r="J28" s="1266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70"/>
    </row>
    <row r="29" spans="2:23" ht="22.5" customHeight="1">
      <c r="B29" s="47"/>
      <c r="C29" s="137" t="s">
        <v>297</v>
      </c>
      <c r="D29" s="68" t="s">
        <v>477</v>
      </c>
      <c r="E29" s="409"/>
      <c r="F29" s="409"/>
      <c r="G29" s="409"/>
      <c r="H29" s="49"/>
      <c r="J29" s="1266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</row>
    <row r="30" spans="2:23" ht="22.5" customHeight="1">
      <c r="B30" s="47"/>
      <c r="C30" s="138" t="s">
        <v>304</v>
      </c>
      <c r="D30" s="69" t="s">
        <v>478</v>
      </c>
      <c r="E30" s="410">
        <v>-2162.03</v>
      </c>
      <c r="F30" s="410">
        <v>-2162.03</v>
      </c>
      <c r="G30" s="410">
        <v>-2162.03</v>
      </c>
      <c r="H30" s="49"/>
      <c r="J30" s="1266"/>
      <c r="K30" s="369"/>
      <c r="L30" s="379"/>
      <c r="M30" s="379"/>
      <c r="N30" s="379"/>
      <c r="O30" s="379"/>
      <c r="P30" s="379"/>
      <c r="Q30" s="379"/>
      <c r="R30" s="379"/>
      <c r="S30" s="379"/>
      <c r="T30" s="369"/>
      <c r="U30" s="379"/>
      <c r="V30" s="379"/>
      <c r="W30" s="380"/>
    </row>
    <row r="31" spans="2:23" ht="22.5" customHeight="1">
      <c r="B31" s="47"/>
      <c r="C31" s="136" t="s">
        <v>428</v>
      </c>
      <c r="D31" s="67" t="s">
        <v>479</v>
      </c>
      <c r="E31" s="411"/>
      <c r="F31" s="411"/>
      <c r="G31" s="411"/>
      <c r="H31" s="49"/>
      <c r="J31" s="1266"/>
      <c r="K31" s="369"/>
      <c r="L31" s="379"/>
      <c r="M31" s="379"/>
      <c r="N31" s="379"/>
      <c r="O31" s="379"/>
      <c r="P31" s="379"/>
      <c r="Q31" s="379"/>
      <c r="R31" s="379"/>
      <c r="S31" s="379"/>
      <c r="T31" s="369"/>
      <c r="U31" s="379"/>
      <c r="V31" s="379"/>
      <c r="W31" s="380"/>
    </row>
    <row r="32" spans="2:23" ht="22.5" customHeight="1">
      <c r="B32" s="47"/>
      <c r="C32" s="136" t="s">
        <v>430</v>
      </c>
      <c r="D32" s="67" t="s">
        <v>480</v>
      </c>
      <c r="E32" s="411">
        <v>10757193.53</v>
      </c>
      <c r="F32" s="411">
        <v>4217705.51</v>
      </c>
      <c r="G32" s="411">
        <v>4446028.83</v>
      </c>
      <c r="H32" s="49"/>
      <c r="J32" s="1266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70"/>
    </row>
    <row r="33" spans="2:23" ht="22.5" customHeight="1">
      <c r="B33" s="47"/>
      <c r="C33" s="136" t="s">
        <v>481</v>
      </c>
      <c r="D33" s="67" t="s">
        <v>482</v>
      </c>
      <c r="E33" s="411"/>
      <c r="F33" s="411"/>
      <c r="G33" s="411"/>
      <c r="H33" s="49"/>
      <c r="J33" s="1266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70"/>
    </row>
    <row r="34" spans="2:23" ht="22.5" customHeight="1">
      <c r="B34" s="47"/>
      <c r="C34" s="136" t="s">
        <v>483</v>
      </c>
      <c r="D34" s="67" t="s">
        <v>484</v>
      </c>
      <c r="E34" s="411"/>
      <c r="F34" s="411"/>
      <c r="G34" s="411"/>
      <c r="H34" s="49"/>
      <c r="J34" s="1266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70"/>
    </row>
    <row r="35" spans="2:23" ht="22.5" customHeight="1">
      <c r="B35" s="47"/>
      <c r="C35" s="136" t="s">
        <v>379</v>
      </c>
      <c r="D35" s="67" t="s">
        <v>485</v>
      </c>
      <c r="E35" s="129">
        <f>SUM(E36:E40)</f>
        <v>0</v>
      </c>
      <c r="F35" s="129">
        <f>SUM(F36:F40)</f>
        <v>0</v>
      </c>
      <c r="G35" s="129">
        <f>SUM(G36:G40)</f>
        <v>0</v>
      </c>
      <c r="H35" s="49"/>
      <c r="J35" s="1266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70"/>
    </row>
    <row r="36" spans="2:23" ht="22.5" customHeight="1">
      <c r="B36" s="47"/>
      <c r="C36" s="136" t="s">
        <v>398</v>
      </c>
      <c r="D36" s="67" t="s">
        <v>486</v>
      </c>
      <c r="E36" s="411"/>
      <c r="F36" s="411"/>
      <c r="G36" s="411"/>
      <c r="H36" s="49"/>
      <c r="J36" s="1266"/>
      <c r="K36" s="369"/>
      <c r="L36" s="382"/>
      <c r="M36" s="382"/>
      <c r="N36" s="382"/>
      <c r="O36" s="382"/>
      <c r="P36" s="382"/>
      <c r="Q36" s="382"/>
      <c r="R36" s="382"/>
      <c r="S36" s="382"/>
      <c r="T36" s="369"/>
      <c r="U36" s="382"/>
      <c r="V36" s="382"/>
      <c r="W36" s="383"/>
    </row>
    <row r="37" spans="2:23" ht="22.5" customHeight="1">
      <c r="B37" s="47"/>
      <c r="C37" s="136" t="s">
        <v>408</v>
      </c>
      <c r="D37" s="67" t="s">
        <v>487</v>
      </c>
      <c r="E37" s="411"/>
      <c r="F37" s="411"/>
      <c r="G37" s="411"/>
      <c r="H37" s="49"/>
      <c r="J37" s="1266"/>
      <c r="K37" s="369"/>
      <c r="L37" s="382"/>
      <c r="M37" s="382"/>
      <c r="N37" s="382"/>
      <c r="O37" s="382"/>
      <c r="P37" s="382"/>
      <c r="Q37" s="382"/>
      <c r="R37" s="382"/>
      <c r="S37" s="382"/>
      <c r="T37" s="369"/>
      <c r="U37" s="382"/>
      <c r="V37" s="382"/>
      <c r="W37" s="383"/>
    </row>
    <row r="38" spans="2:23" ht="22.5" customHeight="1">
      <c r="B38" s="47"/>
      <c r="C38" s="136" t="s">
        <v>413</v>
      </c>
      <c r="D38" s="67" t="s">
        <v>488</v>
      </c>
      <c r="E38" s="411"/>
      <c r="F38" s="411"/>
      <c r="G38" s="411"/>
      <c r="H38" s="49"/>
      <c r="J38" s="1266"/>
      <c r="K38" s="369"/>
      <c r="L38" s="382"/>
      <c r="M38" s="382"/>
      <c r="N38" s="382"/>
      <c r="O38" s="382"/>
      <c r="P38" s="382"/>
      <c r="Q38" s="382"/>
      <c r="R38" s="382"/>
      <c r="S38" s="382"/>
      <c r="T38" s="369"/>
      <c r="U38" s="382"/>
      <c r="V38" s="382"/>
      <c r="W38" s="383"/>
    </row>
    <row r="39" spans="2:23" ht="22.5" customHeight="1">
      <c r="B39" s="47"/>
      <c r="C39" s="136" t="s">
        <v>417</v>
      </c>
      <c r="D39" s="67" t="s">
        <v>489</v>
      </c>
      <c r="E39" s="411"/>
      <c r="F39" s="411"/>
      <c r="G39" s="411"/>
      <c r="H39" s="49"/>
      <c r="J39" s="1266"/>
      <c r="K39" s="369"/>
      <c r="L39" s="382"/>
      <c r="M39" s="382"/>
      <c r="N39" s="382"/>
      <c r="O39" s="382"/>
      <c r="P39" s="382"/>
      <c r="Q39" s="382"/>
      <c r="R39" s="382"/>
      <c r="S39" s="382"/>
      <c r="T39" s="369"/>
      <c r="U39" s="382"/>
      <c r="V39" s="382"/>
      <c r="W39" s="383"/>
    </row>
    <row r="40" spans="2:23" ht="22.5" customHeight="1">
      <c r="B40" s="47"/>
      <c r="C40" s="136" t="s">
        <v>425</v>
      </c>
      <c r="D40" s="67" t="s">
        <v>490</v>
      </c>
      <c r="E40" s="411"/>
      <c r="F40" s="411"/>
      <c r="G40" s="411"/>
      <c r="H40" s="49"/>
      <c r="J40" s="1266"/>
      <c r="K40" s="369"/>
      <c r="L40" s="382"/>
      <c r="M40" s="382"/>
      <c r="N40" s="382"/>
      <c r="O40" s="382"/>
      <c r="P40" s="382"/>
      <c r="Q40" s="382"/>
      <c r="R40" s="382"/>
      <c r="S40" s="382"/>
      <c r="T40" s="369"/>
      <c r="U40" s="382"/>
      <c r="V40" s="382"/>
      <c r="W40" s="383"/>
    </row>
    <row r="41" spans="2:23" ht="22.5" customHeight="1">
      <c r="B41" s="47"/>
      <c r="C41" s="136" t="s">
        <v>381</v>
      </c>
      <c r="D41" s="67" t="s">
        <v>491</v>
      </c>
      <c r="E41" s="411">
        <v>10271864.2</v>
      </c>
      <c r="F41" s="411">
        <v>10093022.89</v>
      </c>
      <c r="G41" s="411">
        <f>10745600.7-150000</f>
        <v>10595600.7</v>
      </c>
      <c r="H41" s="49"/>
      <c r="J41" s="1266"/>
      <c r="K41" s="369"/>
      <c r="L41" s="382"/>
      <c r="M41" s="382"/>
      <c r="N41" s="382"/>
      <c r="O41" s="382"/>
      <c r="P41" s="382"/>
      <c r="Q41" s="382"/>
      <c r="R41" s="382"/>
      <c r="S41" s="382"/>
      <c r="T41" s="369"/>
      <c r="U41" s="382"/>
      <c r="V41" s="382"/>
      <c r="W41" s="383"/>
    </row>
    <row r="42" spans="2:23" ht="22.5" customHeight="1">
      <c r="B42" s="47"/>
      <c r="C42" s="139"/>
      <c r="D42" s="61"/>
      <c r="E42" s="132"/>
      <c r="F42" s="132"/>
      <c r="G42" s="132"/>
      <c r="H42" s="49"/>
      <c r="J42" s="1266"/>
      <c r="K42" s="369"/>
      <c r="L42" s="382"/>
      <c r="M42" s="382"/>
      <c r="N42" s="382"/>
      <c r="O42" s="382"/>
      <c r="P42" s="382"/>
      <c r="Q42" s="382"/>
      <c r="R42" s="382"/>
      <c r="S42" s="382"/>
      <c r="T42" s="369"/>
      <c r="U42" s="382"/>
      <c r="V42" s="382"/>
      <c r="W42" s="383"/>
    </row>
    <row r="43" spans="2:23" ht="22.5" customHeight="1">
      <c r="B43" s="47"/>
      <c r="C43" s="135" t="s">
        <v>492</v>
      </c>
      <c r="D43" s="81" t="s">
        <v>493</v>
      </c>
      <c r="E43" s="128">
        <f>E44+E49+SUM(E55:E59)</f>
        <v>43051356.2</v>
      </c>
      <c r="F43" s="128">
        <f>F44+F49+SUM(F55:F59)</f>
        <v>19245806.450000003</v>
      </c>
      <c r="G43" s="128">
        <f>G44+G49+SUM(G55:G59)</f>
        <v>12122573.73</v>
      </c>
      <c r="H43" s="49"/>
      <c r="J43" s="1266"/>
      <c r="K43" s="369"/>
      <c r="L43" s="382"/>
      <c r="M43" s="382"/>
      <c r="N43" s="382"/>
      <c r="O43" s="382"/>
      <c r="P43" s="382"/>
      <c r="Q43" s="382"/>
      <c r="R43" s="382"/>
      <c r="S43" s="382"/>
      <c r="T43" s="369"/>
      <c r="U43" s="382"/>
      <c r="V43" s="382"/>
      <c r="W43" s="383"/>
    </row>
    <row r="44" spans="2:23" ht="22.5" customHeight="1">
      <c r="B44" s="47"/>
      <c r="C44" s="136" t="s">
        <v>398</v>
      </c>
      <c r="D44" s="67" t="s">
        <v>494</v>
      </c>
      <c r="E44" s="129">
        <f>SUM(E45:E48)</f>
        <v>28343.31</v>
      </c>
      <c r="F44" s="129">
        <f>SUM(F45:F48)</f>
        <v>29543.31</v>
      </c>
      <c r="G44" s="129">
        <f>SUM(G45:G48)</f>
        <v>30743.31</v>
      </c>
      <c r="H44" s="49"/>
      <c r="J44" s="1266"/>
      <c r="K44" s="369"/>
      <c r="L44" s="382"/>
      <c r="M44" s="382"/>
      <c r="N44" s="382"/>
      <c r="O44" s="382"/>
      <c r="P44" s="382"/>
      <c r="Q44" s="382"/>
      <c r="R44" s="382"/>
      <c r="S44" s="382"/>
      <c r="T44" s="369"/>
      <c r="U44" s="382"/>
      <c r="V44" s="382"/>
      <c r="W44" s="383"/>
    </row>
    <row r="45" spans="2:23" ht="22.5" customHeight="1">
      <c r="B45" s="47"/>
      <c r="C45" s="137" t="s">
        <v>297</v>
      </c>
      <c r="D45" s="68" t="s">
        <v>495</v>
      </c>
      <c r="E45" s="409"/>
      <c r="F45" s="409"/>
      <c r="G45" s="409"/>
      <c r="H45" s="49"/>
      <c r="J45" s="1266"/>
      <c r="K45" s="369"/>
      <c r="L45" s="382"/>
      <c r="M45" s="382"/>
      <c r="N45" s="382"/>
      <c r="O45" s="382"/>
      <c r="P45" s="382"/>
      <c r="Q45" s="382"/>
      <c r="R45" s="382"/>
      <c r="S45" s="382"/>
      <c r="T45" s="369"/>
      <c r="U45" s="382"/>
      <c r="V45" s="382"/>
      <c r="W45" s="383"/>
    </row>
    <row r="46" spans="2:23" ht="22.5" customHeight="1">
      <c r="B46" s="47"/>
      <c r="C46" s="138" t="s">
        <v>304</v>
      </c>
      <c r="D46" s="69" t="s">
        <v>496</v>
      </c>
      <c r="E46" s="410"/>
      <c r="F46" s="410"/>
      <c r="G46" s="410"/>
      <c r="H46" s="49"/>
      <c r="J46" s="1266"/>
      <c r="K46" s="369"/>
      <c r="L46" s="382"/>
      <c r="M46" s="382"/>
      <c r="N46" s="382"/>
      <c r="O46" s="382"/>
      <c r="P46" s="382"/>
      <c r="Q46" s="382"/>
      <c r="R46" s="382"/>
      <c r="S46" s="382"/>
      <c r="T46" s="369"/>
      <c r="U46" s="382"/>
      <c r="V46" s="382"/>
      <c r="W46" s="383"/>
    </row>
    <row r="47" spans="2:23" ht="22.5" customHeight="1">
      <c r="B47" s="47"/>
      <c r="C47" s="138" t="s">
        <v>306</v>
      </c>
      <c r="D47" s="69" t="s">
        <v>497</v>
      </c>
      <c r="E47" s="410"/>
      <c r="F47" s="410"/>
      <c r="G47" s="410"/>
      <c r="H47" s="49"/>
      <c r="J47" s="1266"/>
      <c r="K47" s="369"/>
      <c r="L47" s="382"/>
      <c r="M47" s="382"/>
      <c r="N47" s="382"/>
      <c r="O47" s="382"/>
      <c r="P47" s="382"/>
      <c r="Q47" s="382"/>
      <c r="R47" s="382"/>
      <c r="S47" s="382"/>
      <c r="T47" s="369"/>
      <c r="U47" s="382"/>
      <c r="V47" s="382"/>
      <c r="W47" s="383"/>
    </row>
    <row r="48" spans="2:23" ht="22.5" customHeight="1">
      <c r="B48" s="47"/>
      <c r="C48" s="138" t="s">
        <v>308</v>
      </c>
      <c r="D48" s="69" t="s">
        <v>498</v>
      </c>
      <c r="E48" s="410">
        <v>28343.31</v>
      </c>
      <c r="F48" s="410">
        <v>29543.31</v>
      </c>
      <c r="G48" s="410">
        <v>30743.31</v>
      </c>
      <c r="H48" s="49"/>
      <c r="J48" s="1266"/>
      <c r="K48" s="369"/>
      <c r="L48" s="382"/>
      <c r="M48" s="382"/>
      <c r="N48" s="382"/>
      <c r="O48" s="382"/>
      <c r="P48" s="382"/>
      <c r="Q48" s="382"/>
      <c r="R48" s="382"/>
      <c r="S48" s="382"/>
      <c r="T48" s="369"/>
      <c r="U48" s="382"/>
      <c r="V48" s="382"/>
      <c r="W48" s="383"/>
    </row>
    <row r="49" spans="2:23" ht="22.5" customHeight="1">
      <c r="B49" s="47"/>
      <c r="C49" s="136" t="s">
        <v>408</v>
      </c>
      <c r="D49" s="67" t="s">
        <v>499</v>
      </c>
      <c r="E49" s="129">
        <f>SUM(E50:E54)</f>
        <v>39386161.910000004</v>
      </c>
      <c r="F49" s="129">
        <f>SUM(F50:F54)</f>
        <v>15660655.260000002</v>
      </c>
      <c r="G49" s="129">
        <f>SUM(G50:G54)</f>
        <v>8386227.66</v>
      </c>
      <c r="H49" s="49"/>
      <c r="J49" s="1266"/>
      <c r="K49" s="369"/>
      <c r="L49" s="382"/>
      <c r="M49" s="382"/>
      <c r="N49" s="382"/>
      <c r="O49" s="382"/>
      <c r="P49" s="382"/>
      <c r="Q49" s="382"/>
      <c r="R49" s="382"/>
      <c r="S49" s="382"/>
      <c r="T49" s="369"/>
      <c r="U49" s="382"/>
      <c r="V49" s="382"/>
      <c r="W49" s="383"/>
    </row>
    <row r="50" spans="2:23" ht="22.5" customHeight="1">
      <c r="B50" s="47"/>
      <c r="C50" s="137" t="s">
        <v>297</v>
      </c>
      <c r="D50" s="68" t="s">
        <v>500</v>
      </c>
      <c r="E50" s="409"/>
      <c r="F50" s="409"/>
      <c r="G50" s="409"/>
      <c r="H50" s="49"/>
      <c r="J50" s="1266"/>
      <c r="K50" s="369"/>
      <c r="L50" s="382"/>
      <c r="M50" s="382"/>
      <c r="N50" s="382"/>
      <c r="O50" s="382"/>
      <c r="P50" s="382"/>
      <c r="Q50" s="382"/>
      <c r="R50" s="382"/>
      <c r="S50" s="382"/>
      <c r="T50" s="369"/>
      <c r="U50" s="382"/>
      <c r="V50" s="382"/>
      <c r="W50" s="383"/>
    </row>
    <row r="51" spans="2:23" s="72" customFormat="1" ht="22.5" customHeight="1">
      <c r="B51" s="23"/>
      <c r="C51" s="138" t="s">
        <v>304</v>
      </c>
      <c r="D51" s="69" t="s">
        <v>501</v>
      </c>
      <c r="E51" s="410">
        <v>39311034.52</v>
      </c>
      <c r="F51" s="410">
        <v>15592541.21</v>
      </c>
      <c r="G51" s="410">
        <v>8318113.61</v>
      </c>
      <c r="H51" s="58"/>
      <c r="J51" s="1266"/>
      <c r="K51" s="369"/>
      <c r="L51" s="382"/>
      <c r="M51" s="382"/>
      <c r="N51" s="382"/>
      <c r="O51" s="382"/>
      <c r="P51" s="382"/>
      <c r="Q51" s="382"/>
      <c r="R51" s="382"/>
      <c r="S51" s="382"/>
      <c r="T51" s="369"/>
      <c r="U51" s="382"/>
      <c r="V51" s="382"/>
      <c r="W51" s="383"/>
    </row>
    <row r="52" spans="2:23" ht="22.5" customHeight="1">
      <c r="B52" s="47"/>
      <c r="C52" s="138" t="s">
        <v>306</v>
      </c>
      <c r="D52" s="69" t="s">
        <v>502</v>
      </c>
      <c r="E52" s="410"/>
      <c r="F52" s="410"/>
      <c r="G52" s="410"/>
      <c r="H52" s="49"/>
      <c r="J52" s="1266"/>
      <c r="K52" s="369"/>
      <c r="L52" s="382"/>
      <c r="M52" s="382"/>
      <c r="N52" s="382"/>
      <c r="O52" s="382"/>
      <c r="P52" s="382"/>
      <c r="Q52" s="382"/>
      <c r="R52" s="382"/>
      <c r="S52" s="382"/>
      <c r="T52" s="369"/>
      <c r="U52" s="382"/>
      <c r="V52" s="382"/>
      <c r="W52" s="383"/>
    </row>
    <row r="53" spans="2:23" ht="22.5" customHeight="1">
      <c r="B53" s="47"/>
      <c r="C53" s="138" t="s">
        <v>308</v>
      </c>
      <c r="D53" s="69" t="s">
        <v>422</v>
      </c>
      <c r="E53" s="410"/>
      <c r="F53" s="410"/>
      <c r="G53" s="410"/>
      <c r="H53" s="49"/>
      <c r="J53" s="1266"/>
      <c r="K53" s="369"/>
      <c r="L53" s="382"/>
      <c r="M53" s="382"/>
      <c r="N53" s="382"/>
      <c r="O53" s="382"/>
      <c r="P53" s="382"/>
      <c r="Q53" s="382"/>
      <c r="R53" s="382"/>
      <c r="S53" s="382"/>
      <c r="T53" s="369"/>
      <c r="U53" s="382"/>
      <c r="V53" s="382"/>
      <c r="W53" s="383"/>
    </row>
    <row r="54" spans="2:23" ht="22.5" customHeight="1">
      <c r="B54" s="47"/>
      <c r="C54" s="138" t="s">
        <v>404</v>
      </c>
      <c r="D54" s="69" t="s">
        <v>503</v>
      </c>
      <c r="E54" s="410">
        <v>75127.39</v>
      </c>
      <c r="F54" s="410">
        <v>68114.05</v>
      </c>
      <c r="G54" s="410">
        <v>68114.05</v>
      </c>
      <c r="H54" s="49"/>
      <c r="J54" s="1266"/>
      <c r="K54" s="369"/>
      <c r="L54" s="382"/>
      <c r="M54" s="382"/>
      <c r="N54" s="382"/>
      <c r="O54" s="382"/>
      <c r="P54" s="382"/>
      <c r="Q54" s="382"/>
      <c r="R54" s="382"/>
      <c r="S54" s="382"/>
      <c r="T54" s="369"/>
      <c r="U54" s="382"/>
      <c r="V54" s="382"/>
      <c r="W54" s="383"/>
    </row>
    <row r="55" spans="2:23" ht="22.5" customHeight="1">
      <c r="B55" s="47"/>
      <c r="C55" s="136" t="s">
        <v>413</v>
      </c>
      <c r="D55" s="67" t="s">
        <v>504</v>
      </c>
      <c r="E55" s="411"/>
      <c r="F55" s="411"/>
      <c r="G55" s="411"/>
      <c r="H55" s="49"/>
      <c r="J55" s="1266"/>
      <c r="K55" s="369"/>
      <c r="L55" s="382"/>
      <c r="M55" s="382"/>
      <c r="N55" s="382"/>
      <c r="O55" s="382"/>
      <c r="P55" s="382"/>
      <c r="Q55" s="382"/>
      <c r="R55" s="382"/>
      <c r="S55" s="382"/>
      <c r="T55" s="369"/>
      <c r="U55" s="382"/>
      <c r="V55" s="382"/>
      <c r="W55" s="383"/>
    </row>
    <row r="56" spans="2:23" ht="22.5" customHeight="1">
      <c r="B56" s="47"/>
      <c r="C56" s="136" t="s">
        <v>417</v>
      </c>
      <c r="D56" s="67" t="s">
        <v>505</v>
      </c>
      <c r="E56" s="411">
        <v>3636850.98</v>
      </c>
      <c r="F56" s="411">
        <v>3555607.88</v>
      </c>
      <c r="G56" s="411">
        <f>3755602.76-50000</f>
        <v>3705602.76</v>
      </c>
      <c r="H56" s="49"/>
      <c r="J56" s="1266"/>
      <c r="K56" s="369"/>
      <c r="L56" s="382"/>
      <c r="M56" s="382"/>
      <c r="N56" s="382"/>
      <c r="O56" s="382"/>
      <c r="P56" s="382"/>
      <c r="Q56" s="382"/>
      <c r="R56" s="382"/>
      <c r="S56" s="382"/>
      <c r="T56" s="369"/>
      <c r="U56" s="382"/>
      <c r="V56" s="382"/>
      <c r="W56" s="383"/>
    </row>
    <row r="57" spans="2:23" ht="22.5" customHeight="1">
      <c r="B57" s="47"/>
      <c r="C57" s="136" t="s">
        <v>425</v>
      </c>
      <c r="D57" s="67" t="s">
        <v>506</v>
      </c>
      <c r="E57" s="411"/>
      <c r="F57" s="411"/>
      <c r="G57" s="411"/>
      <c r="H57" s="49"/>
      <c r="J57" s="1266"/>
      <c r="K57" s="369"/>
      <c r="L57" s="382"/>
      <c r="M57" s="382"/>
      <c r="N57" s="382"/>
      <c r="O57" s="382"/>
      <c r="P57" s="382"/>
      <c r="Q57" s="382"/>
      <c r="R57" s="382"/>
      <c r="S57" s="382"/>
      <c r="T57" s="369"/>
      <c r="U57" s="382"/>
      <c r="V57" s="382"/>
      <c r="W57" s="383"/>
    </row>
    <row r="58" spans="2:23" ht="22.5" customHeight="1">
      <c r="B58" s="47"/>
      <c r="C58" s="136" t="s">
        <v>428</v>
      </c>
      <c r="D58" s="67" t="s">
        <v>507</v>
      </c>
      <c r="E58" s="411"/>
      <c r="F58" s="411"/>
      <c r="G58" s="411"/>
      <c r="H58" s="49"/>
      <c r="J58" s="1266"/>
      <c r="K58" s="369"/>
      <c r="L58" s="382"/>
      <c r="M58" s="382"/>
      <c r="N58" s="382"/>
      <c r="O58" s="382"/>
      <c r="P58" s="382"/>
      <c r="Q58" s="382"/>
      <c r="R58" s="382"/>
      <c r="S58" s="382"/>
      <c r="T58" s="369"/>
      <c r="U58" s="382"/>
      <c r="V58" s="382"/>
      <c r="W58" s="383"/>
    </row>
    <row r="59" spans="2:23" ht="22.5" customHeight="1">
      <c r="B59" s="47"/>
      <c r="C59" s="136" t="s">
        <v>430</v>
      </c>
      <c r="D59" s="67" t="s">
        <v>508</v>
      </c>
      <c r="E59" s="411"/>
      <c r="F59" s="411"/>
      <c r="G59" s="411"/>
      <c r="H59" s="49"/>
      <c r="J59" s="1266"/>
      <c r="K59" s="369"/>
      <c r="L59" s="382"/>
      <c r="M59" s="382"/>
      <c r="N59" s="382"/>
      <c r="O59" s="382"/>
      <c r="P59" s="382"/>
      <c r="Q59" s="382"/>
      <c r="R59" s="382"/>
      <c r="S59" s="382"/>
      <c r="T59" s="369"/>
      <c r="U59" s="382"/>
      <c r="V59" s="382"/>
      <c r="W59" s="383"/>
    </row>
    <row r="60" spans="2:23" ht="22.5" customHeight="1">
      <c r="B60" s="47"/>
      <c r="C60" s="140"/>
      <c r="D60" s="1"/>
      <c r="E60" s="132"/>
      <c r="F60" s="132"/>
      <c r="G60" s="132"/>
      <c r="H60" s="49"/>
      <c r="J60" s="1266"/>
      <c r="K60" s="369"/>
      <c r="L60" s="382"/>
      <c r="M60" s="382"/>
      <c r="N60" s="382"/>
      <c r="O60" s="382"/>
      <c r="P60" s="382"/>
      <c r="Q60" s="382"/>
      <c r="R60" s="382"/>
      <c r="S60" s="382"/>
      <c r="T60" s="369"/>
      <c r="U60" s="382"/>
      <c r="V60" s="382"/>
      <c r="W60" s="383"/>
    </row>
    <row r="61" spans="2:23" ht="22.5" customHeight="1">
      <c r="B61" s="47"/>
      <c r="C61" s="135" t="s">
        <v>509</v>
      </c>
      <c r="D61" s="81" t="s">
        <v>510</v>
      </c>
      <c r="E61" s="128">
        <f>E62+E63+E66+E72+E73+E83+E84</f>
        <v>38633569.25</v>
      </c>
      <c r="F61" s="128">
        <f>F62+F63+F66+F72+F73+F83+F84</f>
        <v>7894687.04</v>
      </c>
      <c r="G61" s="128">
        <f>G62+G63+G66+G72+G73+G83+G84</f>
        <v>6398354.47</v>
      </c>
      <c r="H61" s="49"/>
      <c r="J61" s="1266"/>
      <c r="K61" s="369"/>
      <c r="L61" s="382"/>
      <c r="M61" s="382"/>
      <c r="N61" s="382"/>
      <c r="O61" s="382"/>
      <c r="P61" s="382"/>
      <c r="Q61" s="382"/>
      <c r="R61" s="382"/>
      <c r="S61" s="382"/>
      <c r="T61" s="369"/>
      <c r="U61" s="382"/>
      <c r="V61" s="382"/>
      <c r="W61" s="383"/>
    </row>
    <row r="62" spans="2:23" ht="22.5" customHeight="1">
      <c r="B62" s="47"/>
      <c r="C62" s="136" t="s">
        <v>398</v>
      </c>
      <c r="D62" s="67" t="s">
        <v>511</v>
      </c>
      <c r="E62" s="411"/>
      <c r="F62" s="411"/>
      <c r="G62" s="411"/>
      <c r="H62" s="49"/>
      <c r="J62" s="1266"/>
      <c r="K62" s="369"/>
      <c r="L62" s="382"/>
      <c r="M62" s="382"/>
      <c r="N62" s="382"/>
      <c r="O62" s="382"/>
      <c r="P62" s="382"/>
      <c r="Q62" s="382"/>
      <c r="R62" s="382"/>
      <c r="S62" s="382"/>
      <c r="T62" s="369"/>
      <c r="U62" s="382"/>
      <c r="V62" s="382"/>
      <c r="W62" s="383"/>
    </row>
    <row r="63" spans="2:23" ht="22.5" customHeight="1">
      <c r="B63" s="47"/>
      <c r="C63" s="136" t="s">
        <v>408</v>
      </c>
      <c r="D63" s="67" t="s">
        <v>512</v>
      </c>
      <c r="E63" s="129">
        <f>SUM(E64:E65)</f>
        <v>0</v>
      </c>
      <c r="F63" s="129">
        <f>SUM(F64:F65)</f>
        <v>0</v>
      </c>
      <c r="G63" s="129">
        <f>SUM(G64:G65)</f>
        <v>0</v>
      </c>
      <c r="H63" s="49"/>
      <c r="J63" s="1266"/>
      <c r="K63" s="369"/>
      <c r="L63" s="382"/>
      <c r="M63" s="382"/>
      <c r="N63" s="382"/>
      <c r="O63" s="382"/>
      <c r="P63" s="382"/>
      <c r="Q63" s="382"/>
      <c r="R63" s="382"/>
      <c r="S63" s="382"/>
      <c r="T63" s="369"/>
      <c r="U63" s="382"/>
      <c r="V63" s="382"/>
      <c r="W63" s="383"/>
    </row>
    <row r="64" spans="2:23" ht="22.5" customHeight="1">
      <c r="B64" s="47"/>
      <c r="C64" s="137" t="s">
        <v>297</v>
      </c>
      <c r="D64" s="68" t="s">
        <v>513</v>
      </c>
      <c r="E64" s="409"/>
      <c r="F64" s="409"/>
      <c r="G64" s="409"/>
      <c r="H64" s="49"/>
      <c r="J64" s="1266"/>
      <c r="K64" s="369"/>
      <c r="L64" s="382"/>
      <c r="M64" s="382"/>
      <c r="N64" s="382"/>
      <c r="O64" s="382"/>
      <c r="P64" s="382"/>
      <c r="Q64" s="382"/>
      <c r="R64" s="382"/>
      <c r="S64" s="382"/>
      <c r="T64" s="369"/>
      <c r="U64" s="382"/>
      <c r="V64" s="382"/>
      <c r="W64" s="383"/>
    </row>
    <row r="65" spans="2:23" ht="22.5" customHeight="1">
      <c r="B65" s="47"/>
      <c r="C65" s="138" t="s">
        <v>304</v>
      </c>
      <c r="D65" s="69" t="s">
        <v>498</v>
      </c>
      <c r="E65" s="410"/>
      <c r="F65" s="410"/>
      <c r="G65" s="410"/>
      <c r="H65" s="49"/>
      <c r="J65" s="1266"/>
      <c r="K65" s="369"/>
      <c r="L65" s="382"/>
      <c r="M65" s="382"/>
      <c r="N65" s="382"/>
      <c r="O65" s="382"/>
      <c r="P65" s="382"/>
      <c r="Q65" s="382"/>
      <c r="R65" s="382"/>
      <c r="S65" s="382"/>
      <c r="T65" s="369"/>
      <c r="U65" s="382"/>
      <c r="V65" s="382"/>
      <c r="W65" s="383"/>
    </row>
    <row r="66" spans="2:23" ht="22.5" customHeight="1">
      <c r="B66" s="47"/>
      <c r="C66" s="136" t="s">
        <v>413</v>
      </c>
      <c r="D66" s="67" t="s">
        <v>514</v>
      </c>
      <c r="E66" s="129">
        <f>SUM(E67:E71)</f>
        <v>29340475.19</v>
      </c>
      <c r="F66" s="129">
        <f>SUM(F67:F71)</f>
        <v>3873557.92</v>
      </c>
      <c r="G66" s="129">
        <f>SUM(G67:G71)</f>
        <v>3398976.58</v>
      </c>
      <c r="H66" s="49"/>
      <c r="J66" s="1266"/>
      <c r="K66" s="369"/>
      <c r="L66" s="382"/>
      <c r="M66" s="382"/>
      <c r="N66" s="382"/>
      <c r="O66" s="382"/>
      <c r="P66" s="382"/>
      <c r="Q66" s="382"/>
      <c r="R66" s="382"/>
      <c r="S66" s="382"/>
      <c r="T66" s="369"/>
      <c r="U66" s="382"/>
      <c r="V66" s="382"/>
      <c r="W66" s="383"/>
    </row>
    <row r="67" spans="2:23" ht="22.5" customHeight="1">
      <c r="B67" s="47"/>
      <c r="C67" s="137" t="s">
        <v>297</v>
      </c>
      <c r="D67" s="68" t="s">
        <v>515</v>
      </c>
      <c r="E67" s="409"/>
      <c r="F67" s="409"/>
      <c r="G67" s="409"/>
      <c r="H67" s="49"/>
      <c r="J67" s="1266"/>
      <c r="K67" s="369"/>
      <c r="L67" s="382"/>
      <c r="M67" s="382"/>
      <c r="N67" s="382"/>
      <c r="O67" s="382"/>
      <c r="P67" s="382"/>
      <c r="Q67" s="382"/>
      <c r="R67" s="382"/>
      <c r="S67" s="382"/>
      <c r="T67" s="369"/>
      <c r="U67" s="382"/>
      <c r="V67" s="382"/>
      <c r="W67" s="383"/>
    </row>
    <row r="68" spans="2:23" ht="22.5" customHeight="1">
      <c r="B68" s="47"/>
      <c r="C68" s="138" t="s">
        <v>304</v>
      </c>
      <c r="D68" s="69" t="s">
        <v>501</v>
      </c>
      <c r="E68" s="410">
        <v>4386103.69</v>
      </c>
      <c r="F68" s="410">
        <v>3297261.33</v>
      </c>
      <c r="G68" s="410">
        <v>3297261.33</v>
      </c>
      <c r="H68" s="49"/>
      <c r="J68" s="1266"/>
      <c r="K68" s="369"/>
      <c r="L68" s="382"/>
      <c r="M68" s="382"/>
      <c r="N68" s="382"/>
      <c r="O68" s="382"/>
      <c r="P68" s="382"/>
      <c r="Q68" s="382"/>
      <c r="R68" s="382"/>
      <c r="S68" s="382"/>
      <c r="T68" s="369"/>
      <c r="U68" s="382"/>
      <c r="V68" s="382"/>
      <c r="W68" s="383"/>
    </row>
    <row r="69" spans="2:23" ht="22.5" customHeight="1">
      <c r="B69" s="47"/>
      <c r="C69" s="138" t="s">
        <v>306</v>
      </c>
      <c r="D69" s="69" t="s">
        <v>502</v>
      </c>
      <c r="E69" s="410"/>
      <c r="F69" s="410"/>
      <c r="G69" s="410"/>
      <c r="H69" s="49"/>
      <c r="J69" s="1266"/>
      <c r="K69" s="369"/>
      <c r="L69" s="382"/>
      <c r="M69" s="382"/>
      <c r="N69" s="382"/>
      <c r="O69" s="382"/>
      <c r="P69" s="382"/>
      <c r="Q69" s="382"/>
      <c r="R69" s="382"/>
      <c r="S69" s="382"/>
      <c r="T69" s="369"/>
      <c r="U69" s="382"/>
      <c r="V69" s="382"/>
      <c r="W69" s="383"/>
    </row>
    <row r="70" spans="2:23" ht="22.5" customHeight="1">
      <c r="B70" s="47"/>
      <c r="C70" s="138" t="s">
        <v>308</v>
      </c>
      <c r="D70" s="69" t="s">
        <v>422</v>
      </c>
      <c r="E70" s="410"/>
      <c r="F70" s="410"/>
      <c r="G70" s="410"/>
      <c r="H70" s="49"/>
      <c r="J70" s="1266"/>
      <c r="K70" s="369"/>
      <c r="L70" s="382"/>
      <c r="M70" s="382"/>
      <c r="N70" s="382"/>
      <c r="O70" s="382"/>
      <c r="P70" s="382"/>
      <c r="Q70" s="382"/>
      <c r="R70" s="382"/>
      <c r="S70" s="382"/>
      <c r="T70" s="369"/>
      <c r="U70" s="382"/>
      <c r="V70" s="382"/>
      <c r="W70" s="383"/>
    </row>
    <row r="71" spans="2:23" ht="22.5" customHeight="1">
      <c r="B71" s="47"/>
      <c r="C71" s="138" t="s">
        <v>404</v>
      </c>
      <c r="D71" s="69" t="s">
        <v>503</v>
      </c>
      <c r="E71" s="410">
        <v>24954371.5</v>
      </c>
      <c r="F71" s="410">
        <f>137296.59+439000</f>
        <v>576296.59</v>
      </c>
      <c r="G71" s="410">
        <v>101715.25</v>
      </c>
      <c r="H71" s="49"/>
      <c r="J71" s="1266"/>
      <c r="K71" s="369"/>
      <c r="L71" s="382"/>
      <c r="M71" s="382"/>
      <c r="N71" s="382"/>
      <c r="O71" s="382"/>
      <c r="P71" s="382"/>
      <c r="Q71" s="382"/>
      <c r="R71" s="382"/>
      <c r="S71" s="382"/>
      <c r="T71" s="369"/>
      <c r="U71" s="382"/>
      <c r="V71" s="382"/>
      <c r="W71" s="383"/>
    </row>
    <row r="72" spans="2:23" ht="22.5" customHeight="1">
      <c r="B72" s="47"/>
      <c r="C72" s="136" t="s">
        <v>417</v>
      </c>
      <c r="D72" s="67" t="s">
        <v>516</v>
      </c>
      <c r="E72" s="411">
        <v>776029.99</v>
      </c>
      <c r="F72" s="411">
        <v>217773.46</v>
      </c>
      <c r="G72" s="411">
        <v>417773.46</v>
      </c>
      <c r="H72" s="49"/>
      <c r="J72" s="1266"/>
      <c r="K72" s="369"/>
      <c r="L72" s="1162"/>
      <c r="M72" s="382"/>
      <c r="N72" s="382"/>
      <c r="O72" s="382"/>
      <c r="P72" s="382"/>
      <c r="Q72" s="382"/>
      <c r="R72" s="382"/>
      <c r="S72" s="382"/>
      <c r="T72" s="369"/>
      <c r="U72" s="382"/>
      <c r="V72" s="382"/>
      <c r="W72" s="383"/>
    </row>
    <row r="73" spans="2:23" ht="22.5" customHeight="1">
      <c r="B73" s="47"/>
      <c r="C73" s="136" t="s">
        <v>425</v>
      </c>
      <c r="D73" s="67" t="s">
        <v>517</v>
      </c>
      <c r="E73" s="129">
        <f>E74+SUM(E77:E82)</f>
        <v>6636584.9399999995</v>
      </c>
      <c r="F73" s="129">
        <f>F74+SUM(F77:F82)</f>
        <v>2932765.3800000004</v>
      </c>
      <c r="G73" s="129">
        <f>G74+SUM(G77:G82)</f>
        <v>2199565.38</v>
      </c>
      <c r="H73" s="49"/>
      <c r="J73" s="1266"/>
      <c r="K73" s="369"/>
      <c r="L73" s="1162"/>
      <c r="M73" s="382"/>
      <c r="N73" s="382"/>
      <c r="O73" s="382"/>
      <c r="P73" s="382"/>
      <c r="Q73" s="382"/>
      <c r="R73" s="382"/>
      <c r="S73" s="382"/>
      <c r="T73" s="369"/>
      <c r="U73" s="382"/>
      <c r="V73" s="382"/>
      <c r="W73" s="383"/>
    </row>
    <row r="74" spans="2:23" ht="22.5" customHeight="1">
      <c r="B74" s="47"/>
      <c r="C74" s="138" t="s">
        <v>297</v>
      </c>
      <c r="D74" s="69" t="s">
        <v>518</v>
      </c>
      <c r="E74" s="131">
        <f>SUM(E75:E76)</f>
        <v>3474954.08</v>
      </c>
      <c r="F74" s="131">
        <f>SUM(F75:F76)</f>
        <v>0</v>
      </c>
      <c r="G74" s="131">
        <f>SUM(G75:G76)</f>
        <v>0</v>
      </c>
      <c r="H74" s="49"/>
      <c r="J74" s="1266"/>
      <c r="K74" s="369"/>
      <c r="L74" s="382"/>
      <c r="M74" s="382"/>
      <c r="N74" s="382"/>
      <c r="O74" s="382"/>
      <c r="P74" s="382"/>
      <c r="Q74" s="382"/>
      <c r="R74" s="382"/>
      <c r="S74" s="382"/>
      <c r="T74" s="369"/>
      <c r="U74" s="382"/>
      <c r="V74" s="382"/>
      <c r="W74" s="383"/>
    </row>
    <row r="75" spans="2:23" ht="22.5" customHeight="1">
      <c r="B75" s="47"/>
      <c r="C75" s="141" t="s">
        <v>298</v>
      </c>
      <c r="D75" s="84" t="s">
        <v>519</v>
      </c>
      <c r="E75" s="418"/>
      <c r="F75" s="418"/>
      <c r="G75" s="418"/>
      <c r="H75" s="49"/>
      <c r="J75" s="1266"/>
      <c r="K75" s="369"/>
      <c r="L75" s="382"/>
      <c r="M75" s="382"/>
      <c r="N75" s="382"/>
      <c r="O75" s="382"/>
      <c r="P75" s="382"/>
      <c r="Q75" s="382"/>
      <c r="R75" s="382"/>
      <c r="S75" s="382"/>
      <c r="T75" s="369"/>
      <c r="U75" s="382"/>
      <c r="V75" s="382"/>
      <c r="W75" s="383"/>
    </row>
    <row r="76" spans="2:23" ht="22.5" customHeight="1">
      <c r="B76" s="47"/>
      <c r="C76" s="141" t="s">
        <v>300</v>
      </c>
      <c r="D76" s="84" t="s">
        <v>520</v>
      </c>
      <c r="E76" s="418">
        <v>3474954.08</v>
      </c>
      <c r="F76" s="418"/>
      <c r="G76" s="418"/>
      <c r="H76" s="49"/>
      <c r="J76" s="1266"/>
      <c r="K76" s="369"/>
      <c r="L76" s="382"/>
      <c r="M76" s="382"/>
      <c r="N76" s="382"/>
      <c r="O76" s="382"/>
      <c r="P76" s="382"/>
      <c r="Q76" s="382"/>
      <c r="R76" s="382"/>
      <c r="S76" s="382"/>
      <c r="T76" s="369"/>
      <c r="U76" s="382"/>
      <c r="V76" s="382"/>
      <c r="W76" s="383"/>
    </row>
    <row r="77" spans="2:23" ht="22.5" customHeight="1">
      <c r="B77" s="47"/>
      <c r="C77" s="138" t="s">
        <v>304</v>
      </c>
      <c r="D77" s="69" t="s">
        <v>521</v>
      </c>
      <c r="E77" s="410"/>
      <c r="F77" s="410"/>
      <c r="G77" s="410"/>
      <c r="H77" s="49"/>
      <c r="J77" s="1266"/>
      <c r="K77" s="369"/>
      <c r="L77" s="382"/>
      <c r="M77" s="382"/>
      <c r="N77" s="382"/>
      <c r="O77" s="382"/>
      <c r="P77" s="382"/>
      <c r="Q77" s="382"/>
      <c r="R77" s="382"/>
      <c r="S77" s="382"/>
      <c r="T77" s="369"/>
      <c r="U77" s="382"/>
      <c r="V77" s="382"/>
      <c r="W77" s="383"/>
    </row>
    <row r="78" spans="2:23" ht="22.5" customHeight="1">
      <c r="B78" s="47"/>
      <c r="C78" s="138" t="s">
        <v>306</v>
      </c>
      <c r="D78" s="69" t="s">
        <v>522</v>
      </c>
      <c r="E78" s="410">
        <v>2953314.46</v>
      </c>
      <c r="F78" s="410">
        <v>2676297.62</v>
      </c>
      <c r="G78" s="410">
        <v>1956297.62</v>
      </c>
      <c r="H78" s="49"/>
      <c r="J78" s="1266"/>
      <c r="K78" s="369"/>
      <c r="L78" s="382"/>
      <c r="M78" s="382"/>
      <c r="N78" s="382"/>
      <c r="O78" s="382"/>
      <c r="P78" s="382"/>
      <c r="Q78" s="382"/>
      <c r="R78" s="382"/>
      <c r="S78" s="382"/>
      <c r="T78" s="369"/>
      <c r="U78" s="382"/>
      <c r="V78" s="382"/>
      <c r="W78" s="383"/>
    </row>
    <row r="79" spans="2:23" ht="22.5" customHeight="1">
      <c r="B79" s="47"/>
      <c r="C79" s="138" t="s">
        <v>308</v>
      </c>
      <c r="D79" s="69" t="s">
        <v>523</v>
      </c>
      <c r="E79" s="410">
        <v>5915.67</v>
      </c>
      <c r="F79" s="410">
        <v>6027.97</v>
      </c>
      <c r="G79" s="410">
        <v>4827.97</v>
      </c>
      <c r="H79" s="49"/>
      <c r="J79" s="1266"/>
      <c r="K79" s="369"/>
      <c r="L79" s="382"/>
      <c r="M79" s="382"/>
      <c r="N79" s="382"/>
      <c r="O79" s="382"/>
      <c r="P79" s="382"/>
      <c r="Q79" s="382"/>
      <c r="R79" s="382"/>
      <c r="S79" s="382"/>
      <c r="T79" s="369"/>
      <c r="U79" s="382"/>
      <c r="V79" s="382"/>
      <c r="W79" s="383"/>
    </row>
    <row r="80" spans="2:23" ht="22.5" customHeight="1">
      <c r="B80" s="47"/>
      <c r="C80" s="138" t="s">
        <v>404</v>
      </c>
      <c r="D80" s="69" t="s">
        <v>524</v>
      </c>
      <c r="E80" s="410"/>
      <c r="F80" s="410"/>
      <c r="G80" s="410"/>
      <c r="H80" s="49"/>
      <c r="J80" s="1266"/>
      <c r="K80" s="369"/>
      <c r="L80" s="382"/>
      <c r="M80" s="382"/>
      <c r="N80" s="382"/>
      <c r="O80" s="382"/>
      <c r="P80" s="382"/>
      <c r="Q80" s="382"/>
      <c r="R80" s="382"/>
      <c r="S80" s="382"/>
      <c r="T80" s="369"/>
      <c r="U80" s="382"/>
      <c r="V80" s="382"/>
      <c r="W80" s="383"/>
    </row>
    <row r="81" spans="2:23" ht="22.5" customHeight="1">
      <c r="B81" s="47"/>
      <c r="C81" s="138" t="s">
        <v>318</v>
      </c>
      <c r="D81" s="69" t="s">
        <v>525</v>
      </c>
      <c r="E81" s="410">
        <v>202400.73</v>
      </c>
      <c r="F81" s="410">
        <v>250439.79</v>
      </c>
      <c r="G81" s="410">
        <v>238439.79</v>
      </c>
      <c r="H81" s="49"/>
      <c r="J81" s="1266"/>
      <c r="K81" s="369"/>
      <c r="L81" s="382"/>
      <c r="M81" s="382"/>
      <c r="N81" s="382"/>
      <c r="O81" s="382"/>
      <c r="P81" s="382"/>
      <c r="Q81" s="382"/>
      <c r="R81" s="382"/>
      <c r="S81" s="382"/>
      <c r="T81" s="369"/>
      <c r="U81" s="382"/>
      <c r="V81" s="382"/>
      <c r="W81" s="383"/>
    </row>
    <row r="82" spans="2:23" ht="22.5" customHeight="1">
      <c r="B82" s="47"/>
      <c r="C82" s="138" t="s">
        <v>323</v>
      </c>
      <c r="D82" s="69" t="s">
        <v>526</v>
      </c>
      <c r="E82" s="410"/>
      <c r="F82" s="410"/>
      <c r="G82" s="410"/>
      <c r="H82" s="49"/>
      <c r="J82" s="1266"/>
      <c r="K82" s="369"/>
      <c r="L82" s="382"/>
      <c r="M82" s="382"/>
      <c r="N82" s="382"/>
      <c r="O82" s="382"/>
      <c r="P82" s="382"/>
      <c r="Q82" s="382"/>
      <c r="R82" s="382"/>
      <c r="S82" s="382"/>
      <c r="T82" s="369"/>
      <c r="U82" s="382"/>
      <c r="V82" s="382"/>
      <c r="W82" s="383"/>
    </row>
    <row r="83" spans="2:23" ht="22.5" customHeight="1">
      <c r="B83" s="47"/>
      <c r="C83" s="136" t="s">
        <v>428</v>
      </c>
      <c r="D83" s="67" t="s">
        <v>454</v>
      </c>
      <c r="E83" s="411">
        <v>1880479.13</v>
      </c>
      <c r="F83" s="411">
        <v>870590.28</v>
      </c>
      <c r="G83" s="411">
        <v>382039.05</v>
      </c>
      <c r="H83" s="49"/>
      <c r="J83" s="1266"/>
      <c r="K83" s="369"/>
      <c r="L83" s="382"/>
      <c r="M83" s="382"/>
      <c r="N83" s="382"/>
      <c r="O83" s="382"/>
      <c r="P83" s="382"/>
      <c r="Q83" s="382"/>
      <c r="R83" s="382"/>
      <c r="S83" s="382"/>
      <c r="T83" s="369"/>
      <c r="U83" s="382"/>
      <c r="V83" s="382"/>
      <c r="W83" s="383"/>
    </row>
    <row r="84" spans="2:23" ht="22.5" customHeight="1">
      <c r="B84" s="47"/>
      <c r="C84" s="136" t="s">
        <v>430</v>
      </c>
      <c r="D84" s="67" t="s">
        <v>527</v>
      </c>
      <c r="E84" s="411"/>
      <c r="F84" s="411"/>
      <c r="G84" s="411"/>
      <c r="H84" s="49"/>
      <c r="J84" s="1266"/>
      <c r="K84" s="369"/>
      <c r="L84" s="382"/>
      <c r="M84" s="382"/>
      <c r="N84" s="382"/>
      <c r="O84" s="382"/>
      <c r="P84" s="382"/>
      <c r="Q84" s="382"/>
      <c r="R84" s="382"/>
      <c r="S84" s="382"/>
      <c r="T84" s="369"/>
      <c r="U84" s="382"/>
      <c r="V84" s="382"/>
      <c r="W84" s="383"/>
    </row>
    <row r="85" spans="2:23" ht="22.5" customHeight="1">
      <c r="B85" s="47"/>
      <c r="C85" s="134"/>
      <c r="D85" s="83"/>
      <c r="E85" s="132"/>
      <c r="F85" s="132"/>
      <c r="G85" s="132"/>
      <c r="H85" s="49"/>
      <c r="J85" s="1266"/>
      <c r="K85" s="369"/>
      <c r="L85" s="382"/>
      <c r="M85" s="382"/>
      <c r="N85" s="382"/>
      <c r="O85" s="382"/>
      <c r="P85" s="382"/>
      <c r="Q85" s="382"/>
      <c r="R85" s="382"/>
      <c r="S85" s="382"/>
      <c r="T85" s="369"/>
      <c r="U85" s="382"/>
      <c r="V85" s="382"/>
      <c r="W85" s="383"/>
    </row>
    <row r="86" spans="2:23" ht="22.5" customHeight="1" thickBot="1">
      <c r="B86" s="47"/>
      <c r="C86" s="142" t="s">
        <v>528</v>
      </c>
      <c r="D86" s="76"/>
      <c r="E86" s="133">
        <f>E16+E43+E61</f>
        <v>209077558.44</v>
      </c>
      <c r="F86" s="133">
        <f>F16+F43+F61</f>
        <v>183571967.98</v>
      </c>
      <c r="G86" s="133">
        <f>G16+G43+G61</f>
        <v>178027983.5</v>
      </c>
      <c r="H86" s="49"/>
      <c r="J86" s="1266"/>
      <c r="K86" s="369"/>
      <c r="L86" s="382"/>
      <c r="M86" s="382"/>
      <c r="N86" s="382"/>
      <c r="O86" s="382"/>
      <c r="P86" s="382"/>
      <c r="Q86" s="382"/>
      <c r="R86" s="382"/>
      <c r="S86" s="382"/>
      <c r="T86" s="1276"/>
      <c r="U86" s="382"/>
      <c r="V86" s="382"/>
      <c r="W86" s="383"/>
    </row>
    <row r="87" spans="2:23" ht="22.5" customHeight="1" thickBot="1">
      <c r="B87" s="51"/>
      <c r="C87" s="1299"/>
      <c r="D87" s="1299"/>
      <c r="E87" s="1299"/>
      <c r="F87" s="1299"/>
      <c r="G87" s="53"/>
      <c r="H87" s="54"/>
      <c r="J87" s="384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6"/>
    </row>
    <row r="88" spans="3:9" ht="22.5" customHeight="1">
      <c r="C88" s="43"/>
      <c r="D88" s="43"/>
      <c r="E88" s="43"/>
      <c r="F88" s="43"/>
      <c r="G88" s="43"/>
      <c r="I88" s="41" t="s">
        <v>83</v>
      </c>
    </row>
    <row r="89" spans="3:7" ht="12.75">
      <c r="C89" s="36" t="s">
        <v>286</v>
      </c>
      <c r="D89" s="43"/>
      <c r="E89" s="43"/>
      <c r="F89" s="43"/>
      <c r="G89" s="40" t="s">
        <v>905</v>
      </c>
    </row>
    <row r="90" spans="3:7" ht="12.75">
      <c r="C90" s="37" t="s">
        <v>287</v>
      </c>
      <c r="D90" s="43"/>
      <c r="E90" s="43"/>
      <c r="F90" s="43"/>
      <c r="G90" s="43"/>
    </row>
    <row r="91" spans="3:7" ht="12.75">
      <c r="C91" s="37" t="s">
        <v>288</v>
      </c>
      <c r="D91" s="43"/>
      <c r="E91" s="43"/>
      <c r="F91" s="43"/>
      <c r="G91" s="43"/>
    </row>
    <row r="92" spans="3:7" ht="12.75">
      <c r="C92" s="37" t="s">
        <v>289</v>
      </c>
      <c r="D92" s="43"/>
      <c r="E92" s="43"/>
      <c r="F92" s="43"/>
      <c r="G92" s="43"/>
    </row>
    <row r="93" spans="3:7" ht="12.75">
      <c r="C93" s="37" t="s">
        <v>290</v>
      </c>
      <c r="D93" s="43"/>
      <c r="E93" s="43"/>
      <c r="F93" s="43"/>
      <c r="G93" s="43"/>
    </row>
    <row r="94" spans="3:7" ht="22.5" customHeight="1">
      <c r="C94" s="43"/>
      <c r="D94" s="43"/>
      <c r="E94" s="652">
        <f>IF(_CHECK_LIST!J15&gt;0,"Revisa","")</f>
      </c>
      <c r="F94" s="652">
        <f>IF(_CHECK_LIST!K15&gt;0,"Revisa","")</f>
      </c>
      <c r="G94" s="65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orientation="portrait" paperSize="8" scale="4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60" zoomScaleNormal="60" zoomScaleSheetLayoutView="50" zoomScalePageLayoutView="0" workbookViewId="0" topLeftCell="A1">
      <selection activeCell="M45" sqref="M45:P45"/>
    </sheetView>
  </sheetViews>
  <sheetFormatPr defaultColWidth="10.6640625" defaultRowHeight="22.5" customHeight="1"/>
  <cols>
    <col min="1" max="1" width="4.3359375" style="658" bestFit="1" customWidth="1"/>
    <col min="2" max="2" width="3.3359375" style="658" customWidth="1"/>
    <col min="3" max="3" width="13.5546875" style="658" customWidth="1"/>
    <col min="4" max="4" width="76.6640625" style="658" customWidth="1"/>
    <col min="5" max="16" width="18.3359375" style="658" customWidth="1"/>
    <col min="17" max="17" width="3.3359375" style="658" customWidth="1"/>
    <col min="18" max="16384" width="10.6640625" style="658" customWidth="1"/>
  </cols>
  <sheetData>
    <row r="1" ht="22.5" customHeight="1">
      <c r="D1" s="659"/>
    </row>
    <row r="2" ht="22.5" customHeight="1">
      <c r="D2" s="299" t="str">
        <f>_GENERAL!D2</f>
        <v>Área de Presidencia, Hacienda y Modernización</v>
      </c>
    </row>
    <row r="3" ht="22.5" customHeight="1">
      <c r="D3" s="299" t="str">
        <f>_GENERAL!D3</f>
        <v>Dirección Insular de Hacienda</v>
      </c>
    </row>
    <row r="4" ht="22.5" customHeight="1" thickBot="1">
      <c r="A4" s="658" t="s">
        <v>82</v>
      </c>
    </row>
    <row r="5" spans="2:32" ht="9" customHeight="1">
      <c r="B5" s="660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2"/>
      <c r="S5" s="364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6"/>
    </row>
    <row r="6" spans="2:32" ht="30" customHeight="1">
      <c r="B6" s="663"/>
      <c r="C6" s="664" t="s">
        <v>216</v>
      </c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1291">
        <f>ejercicio</f>
        <v>2020</v>
      </c>
      <c r="Q6" s="665"/>
      <c r="S6" s="367"/>
      <c r="T6" s="368" t="s">
        <v>906</v>
      </c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70"/>
    </row>
    <row r="7" spans="2:32" ht="30" customHeight="1">
      <c r="B7" s="663"/>
      <c r="C7" s="664" t="s">
        <v>217</v>
      </c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1291"/>
      <c r="Q7" s="665"/>
      <c r="S7" s="367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70"/>
    </row>
    <row r="8" spans="2:32" ht="30" customHeight="1">
      <c r="B8" s="663"/>
      <c r="C8" s="667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68"/>
      <c r="Q8" s="665"/>
      <c r="S8" s="367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70"/>
    </row>
    <row r="9" spans="2:32" s="672" customFormat="1" ht="30" customHeight="1">
      <c r="B9" s="669"/>
      <c r="C9" s="670" t="s">
        <v>218</v>
      </c>
      <c r="D9" s="1293" t="str">
        <f>Entidad</f>
        <v>INSTITUTO TECNOLOGICO Y DE ENERGIAS RENOVABLES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671"/>
      <c r="S9" s="371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3"/>
    </row>
    <row r="10" spans="2:32" ht="6.75" customHeight="1">
      <c r="B10" s="663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65"/>
      <c r="S10" s="367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70"/>
    </row>
    <row r="11" spans="2:32" s="676" customFormat="1" ht="30" customHeight="1">
      <c r="B11" s="673"/>
      <c r="C11" s="674" t="s">
        <v>104</v>
      </c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5"/>
      <c r="S11" s="374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6"/>
    </row>
    <row r="12" spans="2:32" s="676" customFormat="1" ht="30" customHeight="1">
      <c r="B12" s="673"/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675"/>
      <c r="S12" s="374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6"/>
    </row>
    <row r="13" spans="2:32" ht="22.5" customHeight="1">
      <c r="B13" s="663"/>
      <c r="C13" s="1322">
        <f>ejercicio-1</f>
        <v>2019</v>
      </c>
      <c r="D13" s="1324" t="s">
        <v>112</v>
      </c>
      <c r="E13" s="1122" t="s">
        <v>896</v>
      </c>
      <c r="F13" s="1122" t="s">
        <v>105</v>
      </c>
      <c r="G13" s="1122" t="s">
        <v>106</v>
      </c>
      <c r="H13" s="1122" t="s">
        <v>105</v>
      </c>
      <c r="I13" s="320" t="s">
        <v>109</v>
      </c>
      <c r="J13" s="320" t="s">
        <v>110</v>
      </c>
      <c r="K13" s="320" t="s">
        <v>132</v>
      </c>
      <c r="L13" s="1122" t="s">
        <v>111</v>
      </c>
      <c r="M13" s="1335"/>
      <c r="N13" s="1336"/>
      <c r="O13" s="1336"/>
      <c r="P13" s="1337"/>
      <c r="Q13" s="665"/>
      <c r="S13" s="367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70"/>
    </row>
    <row r="14" spans="2:32" ht="22.5" customHeight="1">
      <c r="B14" s="663"/>
      <c r="C14" s="1323"/>
      <c r="D14" s="1325"/>
      <c r="E14" s="1123">
        <f>ejercicio-2</f>
        <v>2018</v>
      </c>
      <c r="F14" s="1124" t="s">
        <v>467</v>
      </c>
      <c r="G14" s="1124" t="s">
        <v>467</v>
      </c>
      <c r="H14" s="1124" t="s">
        <v>108</v>
      </c>
      <c r="I14" s="1125" t="s">
        <v>107</v>
      </c>
      <c r="J14" s="1126" t="s">
        <v>114</v>
      </c>
      <c r="K14" s="1125" t="s">
        <v>133</v>
      </c>
      <c r="L14" s="1123">
        <f>ejercicio-1</f>
        <v>2019</v>
      </c>
      <c r="M14" s="1338" t="s">
        <v>134</v>
      </c>
      <c r="N14" s="1339"/>
      <c r="O14" s="1339"/>
      <c r="P14" s="1340"/>
      <c r="Q14" s="665"/>
      <c r="S14" s="367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70"/>
    </row>
    <row r="15" spans="2:32" ht="22.5" customHeight="1">
      <c r="B15" s="663"/>
      <c r="C15" s="1127"/>
      <c r="D15" s="1128"/>
      <c r="E15" s="1129"/>
      <c r="F15" s="1129"/>
      <c r="G15" s="1129"/>
      <c r="H15" s="1129"/>
      <c r="I15" s="1129"/>
      <c r="J15" s="1129"/>
      <c r="K15" s="1129"/>
      <c r="L15" s="1129"/>
      <c r="M15" s="1345"/>
      <c r="N15" s="1346"/>
      <c r="O15" s="1346"/>
      <c r="P15" s="1347"/>
      <c r="Q15" s="665"/>
      <c r="S15" s="367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</row>
    <row r="16" spans="2:32" s="1130" customFormat="1" ht="27" customHeight="1">
      <c r="B16" s="673"/>
      <c r="C16" s="1131" t="s">
        <v>345</v>
      </c>
      <c r="D16" s="1132" t="s">
        <v>466</v>
      </c>
      <c r="E16" s="1133">
        <f aca="true" t="shared" si="0" ref="E16:L16">+E17+E20+E21+E26+E27+E30+E31+E32+E33</f>
        <v>117120768.78999999</v>
      </c>
      <c r="F16" s="1133">
        <f t="shared" si="0"/>
        <v>24999977.299999997</v>
      </c>
      <c r="G16" s="1133">
        <f t="shared" si="0"/>
        <v>0</v>
      </c>
      <c r="H16" s="1133">
        <f t="shared" si="0"/>
        <v>0</v>
      </c>
      <c r="I16" s="1133">
        <f t="shared" si="0"/>
        <v>0</v>
      </c>
      <c r="J16" s="1133">
        <f t="shared" si="0"/>
        <v>0</v>
      </c>
      <c r="K16" s="1133">
        <f t="shared" si="0"/>
        <v>4217705.51</v>
      </c>
      <c r="L16" s="1133">
        <f t="shared" si="0"/>
        <v>146338451.6</v>
      </c>
      <c r="M16" s="1348"/>
      <c r="N16" s="1349"/>
      <c r="O16" s="1349"/>
      <c r="P16" s="1350"/>
      <c r="Q16" s="675"/>
      <c r="S16" s="1119"/>
      <c r="T16" s="1120"/>
      <c r="U16" s="1120"/>
      <c r="V16" s="1120"/>
      <c r="W16" s="1120"/>
      <c r="X16" s="1120"/>
      <c r="Y16" s="1120"/>
      <c r="Z16" s="1120"/>
      <c r="AA16" s="1120"/>
      <c r="AB16" s="1120"/>
      <c r="AC16" s="1120"/>
      <c r="AD16" s="1120"/>
      <c r="AE16" s="1120"/>
      <c r="AF16" s="1121"/>
    </row>
    <row r="17" spans="2:32" ht="27" customHeight="1">
      <c r="B17" s="663"/>
      <c r="C17" s="1134" t="s">
        <v>398</v>
      </c>
      <c r="D17" s="1135" t="s">
        <v>467</v>
      </c>
      <c r="E17" s="496">
        <f aca="true" t="shared" si="1" ref="E17:L17">SUM(E18:E19)</f>
        <v>27816083</v>
      </c>
      <c r="F17" s="496">
        <f t="shared" si="1"/>
        <v>6119021.4</v>
      </c>
      <c r="G17" s="496">
        <f t="shared" si="1"/>
        <v>-965025.7</v>
      </c>
      <c r="H17" s="496">
        <f t="shared" si="1"/>
        <v>0</v>
      </c>
      <c r="I17" s="496">
        <f t="shared" si="1"/>
        <v>0</v>
      </c>
      <c r="J17" s="496">
        <f t="shared" si="1"/>
        <v>0</v>
      </c>
      <c r="K17" s="496">
        <f t="shared" si="1"/>
        <v>0</v>
      </c>
      <c r="L17" s="496">
        <f t="shared" si="1"/>
        <v>32970078.7</v>
      </c>
      <c r="M17" s="1332"/>
      <c r="N17" s="1333"/>
      <c r="O17" s="1333"/>
      <c r="P17" s="1334"/>
      <c r="Q17" s="665"/>
      <c r="S17" s="367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70"/>
    </row>
    <row r="18" spans="2:32" ht="27" customHeight="1">
      <c r="B18" s="663"/>
      <c r="C18" s="1136" t="s">
        <v>297</v>
      </c>
      <c r="D18" s="1137" t="s">
        <v>468</v>
      </c>
      <c r="E18" s="1138">
        <f>'FC-4_PASIVO'!E19</f>
        <v>27816083</v>
      </c>
      <c r="F18" s="409">
        <v>6119021.4</v>
      </c>
      <c r="G18" s="409">
        <v>-965025.7</v>
      </c>
      <c r="H18" s="409"/>
      <c r="I18" s="409"/>
      <c r="J18" s="409"/>
      <c r="K18" s="409"/>
      <c r="L18" s="1138">
        <f>SUM(E18:K18)</f>
        <v>32970078.7</v>
      </c>
      <c r="M18" s="1341"/>
      <c r="N18" s="1342"/>
      <c r="O18" s="1342"/>
      <c r="P18" s="1343"/>
      <c r="Q18" s="665"/>
      <c r="S18" s="367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70"/>
    </row>
    <row r="19" spans="2:32" ht="27" customHeight="1">
      <c r="B19" s="663"/>
      <c r="C19" s="1139" t="s">
        <v>304</v>
      </c>
      <c r="D19" s="1140" t="s">
        <v>469</v>
      </c>
      <c r="E19" s="1141">
        <f>'FC-4_PASIVO'!E20</f>
        <v>0</v>
      </c>
      <c r="F19" s="410"/>
      <c r="G19" s="410"/>
      <c r="H19" s="410"/>
      <c r="I19" s="410"/>
      <c r="J19" s="410"/>
      <c r="K19" s="410"/>
      <c r="L19" s="1141">
        <f>SUM(E19:K19)</f>
        <v>0</v>
      </c>
      <c r="M19" s="1326"/>
      <c r="N19" s="1327"/>
      <c r="O19" s="1327"/>
      <c r="P19" s="1328"/>
      <c r="Q19" s="665"/>
      <c r="S19" s="367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70"/>
    </row>
    <row r="20" spans="2:32" ht="27" customHeight="1">
      <c r="B20" s="663"/>
      <c r="C20" s="1134" t="s">
        <v>408</v>
      </c>
      <c r="D20" s="1135" t="s">
        <v>470</v>
      </c>
      <c r="E20" s="496">
        <f>'FC-4_PASIVO'!E21</f>
        <v>1608057.62</v>
      </c>
      <c r="F20" s="411">
        <v>18880955.9</v>
      </c>
      <c r="G20" s="411"/>
      <c r="H20" s="411"/>
      <c r="I20" s="411"/>
      <c r="J20" s="411"/>
      <c r="K20" s="411"/>
      <c r="L20" s="496">
        <f>SUM(E20:K20)</f>
        <v>20489013.52</v>
      </c>
      <c r="M20" s="1329"/>
      <c r="N20" s="1330"/>
      <c r="O20" s="1330"/>
      <c r="P20" s="1331"/>
      <c r="Q20" s="665"/>
      <c r="S20" s="367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70"/>
    </row>
    <row r="21" spans="2:32" ht="27" customHeight="1">
      <c r="B21" s="663"/>
      <c r="C21" s="1134" t="s">
        <v>413</v>
      </c>
      <c r="D21" s="1135" t="s">
        <v>471</v>
      </c>
      <c r="E21" s="496">
        <f aca="true" t="shared" si="2" ref="E21:L21">SUM(E22:E25)</f>
        <v>78941596.66999999</v>
      </c>
      <c r="F21" s="496">
        <f t="shared" si="2"/>
        <v>0</v>
      </c>
      <c r="G21" s="496">
        <f t="shared" si="2"/>
        <v>-1034974.3</v>
      </c>
      <c r="H21" s="496">
        <f t="shared" si="2"/>
        <v>0</v>
      </c>
      <c r="I21" s="496">
        <f t="shared" si="2"/>
        <v>10757193.53</v>
      </c>
      <c r="J21" s="496">
        <f t="shared" si="2"/>
        <v>0</v>
      </c>
      <c r="K21" s="496">
        <f t="shared" si="2"/>
        <v>0</v>
      </c>
      <c r="L21" s="496">
        <f t="shared" si="2"/>
        <v>88663815.89999999</v>
      </c>
      <c r="M21" s="1332"/>
      <c r="N21" s="1333"/>
      <c r="O21" s="1333"/>
      <c r="P21" s="1334"/>
      <c r="Q21" s="665"/>
      <c r="S21" s="367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70"/>
    </row>
    <row r="22" spans="2:32" ht="27" customHeight="1">
      <c r="B22" s="663"/>
      <c r="C22" s="1136" t="s">
        <v>297</v>
      </c>
      <c r="D22" s="1137" t="s">
        <v>472</v>
      </c>
      <c r="E22" s="1138">
        <f>'FC-4_PASIVO'!E23</f>
        <v>3504602.1</v>
      </c>
      <c r="F22" s="409"/>
      <c r="G22" s="409"/>
      <c r="H22" s="409"/>
      <c r="I22" s="409">
        <f>E31*0.1</f>
        <v>1075719.353</v>
      </c>
      <c r="J22" s="409"/>
      <c r="K22" s="409"/>
      <c r="L22" s="1138">
        <f>SUM(E22:K22)</f>
        <v>4580321.453</v>
      </c>
      <c r="M22" s="1341"/>
      <c r="N22" s="1342"/>
      <c r="O22" s="1342"/>
      <c r="P22" s="1343"/>
      <c r="Q22" s="665"/>
      <c r="S22" s="367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70"/>
    </row>
    <row r="23" spans="2:32" ht="27" customHeight="1">
      <c r="B23" s="663"/>
      <c r="C23" s="1139" t="s">
        <v>304</v>
      </c>
      <c r="D23" s="1140" t="s">
        <v>473</v>
      </c>
      <c r="E23" s="1141">
        <f>'FC-4_PASIVO'!E24</f>
        <v>75436994.57</v>
      </c>
      <c r="F23" s="410"/>
      <c r="G23" s="410">
        <v>-1034974.3</v>
      </c>
      <c r="H23" s="410"/>
      <c r="I23" s="410">
        <f>E31-I22</f>
        <v>9681474.177</v>
      </c>
      <c r="J23" s="410"/>
      <c r="K23" s="410"/>
      <c r="L23" s="1141">
        <f>SUM(E23:K23)</f>
        <v>84083494.447</v>
      </c>
      <c r="M23" s="1326"/>
      <c r="N23" s="1327"/>
      <c r="O23" s="1327"/>
      <c r="P23" s="1328"/>
      <c r="Q23" s="665"/>
      <c r="S23" s="367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70"/>
    </row>
    <row r="24" spans="2:32" ht="27" customHeight="1">
      <c r="B24" s="663"/>
      <c r="C24" s="1139" t="s">
        <v>306</v>
      </c>
      <c r="D24" s="1140" t="s">
        <v>474</v>
      </c>
      <c r="E24" s="1141">
        <f>'FC-4_PASIVO'!E25</f>
        <v>0</v>
      </c>
      <c r="F24" s="410"/>
      <c r="G24" s="410"/>
      <c r="H24" s="410"/>
      <c r="I24" s="410"/>
      <c r="J24" s="410"/>
      <c r="K24" s="410"/>
      <c r="L24" s="1141">
        <f>SUM(E24:K24)</f>
        <v>0</v>
      </c>
      <c r="M24" s="1326"/>
      <c r="N24" s="1327"/>
      <c r="O24" s="1327"/>
      <c r="P24" s="1328"/>
      <c r="Q24" s="665"/>
      <c r="S24" s="367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70"/>
    </row>
    <row r="25" spans="2:32" ht="27" customHeight="1">
      <c r="B25" s="663"/>
      <c r="C25" s="1139" t="s">
        <v>308</v>
      </c>
      <c r="D25" s="1140" t="s">
        <v>529</v>
      </c>
      <c r="E25" s="1141">
        <f>'FC-4_PASIVO'!E26</f>
        <v>0</v>
      </c>
      <c r="F25" s="410"/>
      <c r="G25" s="410"/>
      <c r="H25" s="410"/>
      <c r="I25" s="410"/>
      <c r="J25" s="410"/>
      <c r="K25" s="410"/>
      <c r="L25" s="1141">
        <f>SUM(E25:K25)</f>
        <v>0</v>
      </c>
      <c r="M25" s="1326"/>
      <c r="N25" s="1327"/>
      <c r="O25" s="1327"/>
      <c r="P25" s="1328"/>
      <c r="Q25" s="665"/>
      <c r="S25" s="367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70"/>
    </row>
    <row r="26" spans="2:32" ht="27" customHeight="1">
      <c r="B26" s="663"/>
      <c r="C26" s="1134" t="s">
        <v>417</v>
      </c>
      <c r="D26" s="1135" t="s">
        <v>475</v>
      </c>
      <c r="E26" s="496">
        <f>'FC-4_PASIVO'!E27</f>
        <v>-2000000</v>
      </c>
      <c r="F26" s="411"/>
      <c r="G26" s="411">
        <v>2000000</v>
      </c>
      <c r="H26" s="411"/>
      <c r="I26" s="411"/>
      <c r="J26" s="411"/>
      <c r="K26" s="411"/>
      <c r="L26" s="496">
        <f>SUM(E26:K26)</f>
        <v>0</v>
      </c>
      <c r="M26" s="1329"/>
      <c r="N26" s="1330"/>
      <c r="O26" s="1330"/>
      <c r="P26" s="1331"/>
      <c r="Q26" s="665"/>
      <c r="S26" s="367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70"/>
    </row>
    <row r="27" spans="2:32" ht="27" customHeight="1">
      <c r="B27" s="663"/>
      <c r="C27" s="1134" t="s">
        <v>425</v>
      </c>
      <c r="D27" s="1135" t="s">
        <v>476</v>
      </c>
      <c r="E27" s="496">
        <f aca="true" t="shared" si="3" ref="E27:L27">SUM(E28:E29)</f>
        <v>-2162.03</v>
      </c>
      <c r="F27" s="496">
        <f t="shared" si="3"/>
        <v>0</v>
      </c>
      <c r="G27" s="496">
        <f t="shared" si="3"/>
        <v>0</v>
      </c>
      <c r="H27" s="496">
        <f t="shared" si="3"/>
        <v>0</v>
      </c>
      <c r="I27" s="496">
        <f t="shared" si="3"/>
        <v>0</v>
      </c>
      <c r="J27" s="496">
        <f t="shared" si="3"/>
        <v>0</v>
      </c>
      <c r="K27" s="496">
        <f t="shared" si="3"/>
        <v>0</v>
      </c>
      <c r="L27" s="496">
        <f t="shared" si="3"/>
        <v>-2162.03</v>
      </c>
      <c r="M27" s="1332"/>
      <c r="N27" s="1333"/>
      <c r="O27" s="1333"/>
      <c r="P27" s="1334"/>
      <c r="Q27" s="665"/>
      <c r="S27" s="367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70"/>
    </row>
    <row r="28" spans="2:32" ht="27" customHeight="1">
      <c r="B28" s="663"/>
      <c r="C28" s="1136" t="s">
        <v>297</v>
      </c>
      <c r="D28" s="1137" t="s">
        <v>477</v>
      </c>
      <c r="E28" s="1138">
        <f>'FC-4_PASIVO'!E29</f>
        <v>0</v>
      </c>
      <c r="F28" s="409"/>
      <c r="G28" s="409"/>
      <c r="H28" s="409"/>
      <c r="I28" s="409"/>
      <c r="J28" s="409"/>
      <c r="K28" s="409"/>
      <c r="L28" s="1138">
        <f aca="true" t="shared" si="4" ref="L28:L33">SUM(E28:K28)</f>
        <v>0</v>
      </c>
      <c r="M28" s="1341"/>
      <c r="N28" s="1342"/>
      <c r="O28" s="1342"/>
      <c r="P28" s="1343"/>
      <c r="Q28" s="665"/>
      <c r="S28" s="367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70"/>
    </row>
    <row r="29" spans="2:32" ht="27" customHeight="1">
      <c r="B29" s="663"/>
      <c r="C29" s="1139" t="s">
        <v>304</v>
      </c>
      <c r="D29" s="1140" t="s">
        <v>478</v>
      </c>
      <c r="E29" s="1141">
        <f>'FC-4_PASIVO'!E30</f>
        <v>-2162.03</v>
      </c>
      <c r="F29" s="410"/>
      <c r="G29" s="410"/>
      <c r="H29" s="410"/>
      <c r="I29" s="410"/>
      <c r="J29" s="410"/>
      <c r="K29" s="410"/>
      <c r="L29" s="1141">
        <f t="shared" si="4"/>
        <v>-2162.03</v>
      </c>
      <c r="M29" s="1326"/>
      <c r="N29" s="1327"/>
      <c r="O29" s="1327"/>
      <c r="P29" s="1328"/>
      <c r="Q29" s="665"/>
      <c r="S29" s="378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80"/>
    </row>
    <row r="30" spans="2:32" ht="27" customHeight="1">
      <c r="B30" s="663"/>
      <c r="C30" s="1134" t="s">
        <v>428</v>
      </c>
      <c r="D30" s="1135" t="s">
        <v>479</v>
      </c>
      <c r="E30" s="496">
        <f>'FC-4_PASIVO'!E31</f>
        <v>0</v>
      </c>
      <c r="F30" s="411"/>
      <c r="G30" s="411"/>
      <c r="H30" s="411"/>
      <c r="I30" s="411"/>
      <c r="J30" s="411"/>
      <c r="K30" s="411"/>
      <c r="L30" s="496">
        <f t="shared" si="4"/>
        <v>0</v>
      </c>
      <c r="M30" s="1329"/>
      <c r="N30" s="1330"/>
      <c r="O30" s="1330"/>
      <c r="P30" s="1331"/>
      <c r="Q30" s="665"/>
      <c r="S30" s="378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80"/>
    </row>
    <row r="31" spans="2:32" ht="27" customHeight="1">
      <c r="B31" s="663"/>
      <c r="C31" s="1134" t="s">
        <v>430</v>
      </c>
      <c r="D31" s="1135" t="s">
        <v>480</v>
      </c>
      <c r="E31" s="496">
        <f>'FC-4_PASIVO'!E32</f>
        <v>10757193.53</v>
      </c>
      <c r="F31" s="411"/>
      <c r="G31" s="411"/>
      <c r="H31" s="411"/>
      <c r="I31" s="411">
        <v>-10757193.53</v>
      </c>
      <c r="J31" s="411"/>
      <c r="K31" s="411">
        <v>4217705.51</v>
      </c>
      <c r="L31" s="496">
        <f t="shared" si="4"/>
        <v>4217705.51</v>
      </c>
      <c r="M31" s="1332"/>
      <c r="N31" s="1333"/>
      <c r="O31" s="1333"/>
      <c r="P31" s="1334"/>
      <c r="Q31" s="665"/>
      <c r="S31" s="367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70"/>
    </row>
    <row r="32" spans="2:32" ht="27" customHeight="1">
      <c r="B32" s="663"/>
      <c r="C32" s="1134" t="s">
        <v>481</v>
      </c>
      <c r="D32" s="1135" t="s">
        <v>482</v>
      </c>
      <c r="E32" s="496">
        <f>'FC-4_PASIVO'!E33</f>
        <v>0</v>
      </c>
      <c r="F32" s="411"/>
      <c r="G32" s="411"/>
      <c r="H32" s="411"/>
      <c r="I32" s="411"/>
      <c r="J32" s="411"/>
      <c r="K32" s="411"/>
      <c r="L32" s="496">
        <f t="shared" si="4"/>
        <v>0</v>
      </c>
      <c r="M32" s="1332"/>
      <c r="N32" s="1333"/>
      <c r="O32" s="1333"/>
      <c r="P32" s="1334"/>
      <c r="Q32" s="665"/>
      <c r="S32" s="367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70"/>
    </row>
    <row r="33" spans="2:32" ht="27" customHeight="1">
      <c r="B33" s="663"/>
      <c r="C33" s="1134" t="s">
        <v>483</v>
      </c>
      <c r="D33" s="1135" t="s">
        <v>484</v>
      </c>
      <c r="E33" s="496">
        <f>'FC-4_PASIVO'!E34</f>
        <v>0</v>
      </c>
      <c r="F33" s="411"/>
      <c r="G33" s="411"/>
      <c r="H33" s="411"/>
      <c r="I33" s="411"/>
      <c r="J33" s="411"/>
      <c r="K33" s="411"/>
      <c r="L33" s="496">
        <f t="shared" si="4"/>
        <v>0</v>
      </c>
      <c r="M33" s="1332"/>
      <c r="N33" s="1333"/>
      <c r="O33" s="1333"/>
      <c r="P33" s="1334"/>
      <c r="Q33" s="665"/>
      <c r="S33" s="367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70"/>
    </row>
    <row r="34" spans="2:32" ht="27" customHeight="1">
      <c r="B34" s="663"/>
      <c r="C34" s="1142"/>
      <c r="D34" s="664"/>
      <c r="E34" s="1143"/>
      <c r="F34" s="1143"/>
      <c r="G34" s="1143"/>
      <c r="H34" s="1143"/>
      <c r="I34" s="1143"/>
      <c r="J34" s="1143"/>
      <c r="K34" s="1143"/>
      <c r="L34" s="1143"/>
      <c r="M34" s="1143"/>
      <c r="N34" s="1143"/>
      <c r="O34" s="1143"/>
      <c r="P34" s="1144"/>
      <c r="Q34" s="665"/>
      <c r="S34" s="367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70"/>
    </row>
    <row r="35" spans="2:32" ht="27" customHeight="1">
      <c r="B35" s="663"/>
      <c r="C35" s="1322">
        <f>ejercicio</f>
        <v>2020</v>
      </c>
      <c r="D35" s="1324" t="s">
        <v>112</v>
      </c>
      <c r="E35" s="1122" t="str">
        <f>+L13</f>
        <v>Saldo final 31-12</v>
      </c>
      <c r="F35" s="1122" t="s">
        <v>105</v>
      </c>
      <c r="G35" s="1122" t="s">
        <v>106</v>
      </c>
      <c r="H35" s="1122" t="s">
        <v>105</v>
      </c>
      <c r="I35" s="320" t="s">
        <v>109</v>
      </c>
      <c r="J35" s="320" t="s">
        <v>110</v>
      </c>
      <c r="K35" s="320" t="s">
        <v>132</v>
      </c>
      <c r="L35" s="1122" t="s">
        <v>111</v>
      </c>
      <c r="M35" s="1335"/>
      <c r="N35" s="1336"/>
      <c r="O35" s="1336"/>
      <c r="P35" s="1337"/>
      <c r="Q35" s="665"/>
      <c r="S35" s="367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70"/>
    </row>
    <row r="36" spans="2:32" ht="27" customHeight="1">
      <c r="B36" s="663"/>
      <c r="C36" s="1323"/>
      <c r="D36" s="1325"/>
      <c r="E36" s="1123">
        <f>+L14</f>
        <v>2019</v>
      </c>
      <c r="F36" s="1124" t="s">
        <v>467</v>
      </c>
      <c r="G36" s="1124" t="s">
        <v>467</v>
      </c>
      <c r="H36" s="1124" t="s">
        <v>108</v>
      </c>
      <c r="I36" s="1125" t="s">
        <v>107</v>
      </c>
      <c r="J36" s="1126" t="s">
        <v>114</v>
      </c>
      <c r="K36" s="1125" t="s">
        <v>133</v>
      </c>
      <c r="L36" s="1123">
        <f>ejercicio</f>
        <v>2020</v>
      </c>
      <c r="M36" s="1338" t="s">
        <v>134</v>
      </c>
      <c r="N36" s="1339"/>
      <c r="O36" s="1339"/>
      <c r="P36" s="1340"/>
      <c r="Q36" s="665"/>
      <c r="S36" s="367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70"/>
    </row>
    <row r="37" spans="2:32" ht="27" customHeight="1">
      <c r="B37" s="663"/>
      <c r="C37" s="1127"/>
      <c r="D37" s="1128"/>
      <c r="E37" s="1129"/>
      <c r="F37" s="1129"/>
      <c r="G37" s="1129"/>
      <c r="H37" s="1129"/>
      <c r="I37" s="1129"/>
      <c r="J37" s="1129"/>
      <c r="K37" s="1129"/>
      <c r="L37" s="1129"/>
      <c r="M37" s="1345"/>
      <c r="N37" s="1346"/>
      <c r="O37" s="1346"/>
      <c r="P37" s="1347"/>
      <c r="Q37" s="665"/>
      <c r="S37" s="367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70"/>
    </row>
    <row r="38" spans="2:32" ht="27" customHeight="1">
      <c r="B38" s="663"/>
      <c r="C38" s="1131" t="s">
        <v>345</v>
      </c>
      <c r="D38" s="1132" t="s">
        <v>466</v>
      </c>
      <c r="E38" s="1133">
        <f aca="true" t="shared" si="5" ref="E38:L38">+E39+E42+E43+E48+E49+E52+E53+E54+E55</f>
        <v>146338451.6</v>
      </c>
      <c r="F38" s="1133">
        <f t="shared" si="5"/>
        <v>0</v>
      </c>
      <c r="G38" s="1133">
        <f t="shared" si="5"/>
        <v>0</v>
      </c>
      <c r="H38" s="1133">
        <f t="shared" si="5"/>
        <v>0</v>
      </c>
      <c r="I38" s="1133">
        <f t="shared" si="5"/>
        <v>-0.008999999612569809</v>
      </c>
      <c r="J38" s="1133">
        <f t="shared" si="5"/>
        <v>0</v>
      </c>
      <c r="K38" s="1133">
        <f t="shared" si="5"/>
        <v>2573003.01</v>
      </c>
      <c r="L38" s="1133">
        <f t="shared" si="5"/>
        <v>148911454.601</v>
      </c>
      <c r="M38" s="1348"/>
      <c r="N38" s="1349"/>
      <c r="O38" s="1349"/>
      <c r="P38" s="1350"/>
      <c r="Q38" s="665"/>
      <c r="S38" s="367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70"/>
    </row>
    <row r="39" spans="2:32" ht="27" customHeight="1">
      <c r="B39" s="663"/>
      <c r="C39" s="1134" t="s">
        <v>398</v>
      </c>
      <c r="D39" s="1135" t="s">
        <v>467</v>
      </c>
      <c r="E39" s="496">
        <f aca="true" t="shared" si="6" ref="E39:L39">SUM(E40:E41)</f>
        <v>32970078.7</v>
      </c>
      <c r="F39" s="496">
        <f t="shared" si="6"/>
        <v>0</v>
      </c>
      <c r="G39" s="496">
        <f t="shared" si="6"/>
        <v>0</v>
      </c>
      <c r="H39" s="496">
        <f t="shared" si="6"/>
        <v>0</v>
      </c>
      <c r="I39" s="496">
        <f t="shared" si="6"/>
        <v>0</v>
      </c>
      <c r="J39" s="496">
        <f t="shared" si="6"/>
        <v>0</v>
      </c>
      <c r="K39" s="496">
        <f t="shared" si="6"/>
        <v>0</v>
      </c>
      <c r="L39" s="496">
        <f t="shared" si="6"/>
        <v>32970078.7</v>
      </c>
      <c r="M39" s="1332"/>
      <c r="N39" s="1333"/>
      <c r="O39" s="1333"/>
      <c r="P39" s="1334"/>
      <c r="Q39" s="665"/>
      <c r="S39" s="367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70"/>
    </row>
    <row r="40" spans="2:32" ht="27" customHeight="1">
      <c r="B40" s="663"/>
      <c r="C40" s="1136" t="s">
        <v>297</v>
      </c>
      <c r="D40" s="1137" t="s">
        <v>468</v>
      </c>
      <c r="E40" s="1138">
        <f>+L18</f>
        <v>32970078.7</v>
      </c>
      <c r="F40" s="409"/>
      <c r="G40" s="409"/>
      <c r="H40" s="409"/>
      <c r="I40" s="409"/>
      <c r="J40" s="409"/>
      <c r="K40" s="409"/>
      <c r="L40" s="1138">
        <f>SUM(E40:K40)</f>
        <v>32970078.7</v>
      </c>
      <c r="M40" s="1341"/>
      <c r="N40" s="1342"/>
      <c r="O40" s="1342"/>
      <c r="P40" s="1343"/>
      <c r="Q40" s="665"/>
      <c r="S40" s="367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70"/>
    </row>
    <row r="41" spans="2:32" ht="27" customHeight="1">
      <c r="B41" s="663"/>
      <c r="C41" s="1139" t="s">
        <v>304</v>
      </c>
      <c r="D41" s="1140" t="s">
        <v>469</v>
      </c>
      <c r="E41" s="1141">
        <f>+L19</f>
        <v>0</v>
      </c>
      <c r="F41" s="410"/>
      <c r="G41" s="410"/>
      <c r="H41" s="410"/>
      <c r="I41" s="410"/>
      <c r="J41" s="410"/>
      <c r="K41" s="410"/>
      <c r="L41" s="1141">
        <f>SUM(E41:K41)</f>
        <v>0</v>
      </c>
      <c r="M41" s="1326"/>
      <c r="N41" s="1327"/>
      <c r="O41" s="1327"/>
      <c r="P41" s="1328"/>
      <c r="Q41" s="665"/>
      <c r="S41" s="367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70"/>
    </row>
    <row r="42" spans="2:32" ht="27" customHeight="1">
      <c r="B42" s="663"/>
      <c r="C42" s="1134" t="s">
        <v>408</v>
      </c>
      <c r="D42" s="1135" t="s">
        <v>470</v>
      </c>
      <c r="E42" s="496">
        <f>+L20</f>
        <v>20489013.52</v>
      </c>
      <c r="F42" s="411"/>
      <c r="G42" s="411"/>
      <c r="H42" s="411"/>
      <c r="I42" s="411"/>
      <c r="J42" s="411"/>
      <c r="K42" s="411"/>
      <c r="L42" s="496">
        <f>SUM(E42:K42)</f>
        <v>20489013.52</v>
      </c>
      <c r="M42" s="1329"/>
      <c r="N42" s="1330"/>
      <c r="O42" s="1330"/>
      <c r="P42" s="1331"/>
      <c r="Q42" s="665"/>
      <c r="S42" s="367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70"/>
    </row>
    <row r="43" spans="2:32" ht="27" customHeight="1">
      <c r="B43" s="663"/>
      <c r="C43" s="1134" t="s">
        <v>413</v>
      </c>
      <c r="D43" s="1135" t="s">
        <v>471</v>
      </c>
      <c r="E43" s="496">
        <f aca="true" t="shared" si="7" ref="E43:L43">SUM(E44:E47)</f>
        <v>88663815.89999999</v>
      </c>
      <c r="F43" s="496">
        <f t="shared" si="7"/>
        <v>0</v>
      </c>
      <c r="G43" s="496">
        <f t="shared" si="7"/>
        <v>0</v>
      </c>
      <c r="H43" s="496">
        <f t="shared" si="7"/>
        <v>0</v>
      </c>
      <c r="I43" s="496">
        <f t="shared" si="7"/>
        <v>4217705.501</v>
      </c>
      <c r="J43" s="496">
        <f t="shared" si="7"/>
        <v>0</v>
      </c>
      <c r="K43" s="496">
        <f t="shared" si="7"/>
        <v>-1873025.82</v>
      </c>
      <c r="L43" s="496">
        <f t="shared" si="7"/>
        <v>91008495.581</v>
      </c>
      <c r="M43" s="1332"/>
      <c r="N43" s="1333"/>
      <c r="O43" s="1333"/>
      <c r="P43" s="1334"/>
      <c r="Q43" s="665"/>
      <c r="S43" s="367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70"/>
    </row>
    <row r="44" spans="2:32" ht="27" customHeight="1">
      <c r="B44" s="663"/>
      <c r="C44" s="1136" t="s">
        <v>297</v>
      </c>
      <c r="D44" s="1137" t="s">
        <v>472</v>
      </c>
      <c r="E44" s="1138">
        <f>+L22</f>
        <v>4580321.453</v>
      </c>
      <c r="F44" s="409"/>
      <c r="G44" s="409"/>
      <c r="H44" s="409"/>
      <c r="I44" s="409">
        <f>E53*0.1</f>
        <v>421770.551</v>
      </c>
      <c r="J44" s="409"/>
      <c r="K44" s="409"/>
      <c r="L44" s="1138">
        <f>SUM(E44:K44)</f>
        <v>5002092.004</v>
      </c>
      <c r="M44" s="1341"/>
      <c r="N44" s="1342"/>
      <c r="O44" s="1342"/>
      <c r="P44" s="1343"/>
      <c r="Q44" s="665"/>
      <c r="S44" s="367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70"/>
    </row>
    <row r="45" spans="2:32" ht="27" customHeight="1">
      <c r="B45" s="663"/>
      <c r="C45" s="1139" t="s">
        <v>304</v>
      </c>
      <c r="D45" s="1140" t="s">
        <v>473</v>
      </c>
      <c r="E45" s="1141">
        <f>+L23</f>
        <v>84083494.447</v>
      </c>
      <c r="F45" s="410"/>
      <c r="G45" s="410"/>
      <c r="H45" s="410"/>
      <c r="I45" s="410">
        <v>3795934.95</v>
      </c>
      <c r="J45" s="410"/>
      <c r="K45" s="410">
        <v>-1873025.82</v>
      </c>
      <c r="L45" s="1141">
        <f>SUM(E45:K45)</f>
        <v>86006403.577</v>
      </c>
      <c r="M45" s="1344" t="s">
        <v>1227</v>
      </c>
      <c r="N45" s="1327"/>
      <c r="O45" s="1327"/>
      <c r="P45" s="1328"/>
      <c r="Q45" s="665"/>
      <c r="S45" s="367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70"/>
    </row>
    <row r="46" spans="2:32" ht="27" customHeight="1">
      <c r="B46" s="663"/>
      <c r="C46" s="1139" t="s">
        <v>306</v>
      </c>
      <c r="D46" s="1140" t="s">
        <v>474</v>
      </c>
      <c r="E46" s="1141">
        <f>+L24</f>
        <v>0</v>
      </c>
      <c r="F46" s="410"/>
      <c r="G46" s="410"/>
      <c r="H46" s="410"/>
      <c r="I46" s="410"/>
      <c r="J46" s="410"/>
      <c r="K46" s="410"/>
      <c r="L46" s="1141">
        <f>SUM(E46:K46)</f>
        <v>0</v>
      </c>
      <c r="M46" s="1326"/>
      <c r="N46" s="1327"/>
      <c r="O46" s="1327"/>
      <c r="P46" s="1328"/>
      <c r="Q46" s="665"/>
      <c r="S46" s="367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70"/>
    </row>
    <row r="47" spans="2:32" ht="27" customHeight="1">
      <c r="B47" s="663"/>
      <c r="C47" s="1139" t="s">
        <v>308</v>
      </c>
      <c r="D47" s="1140" t="s">
        <v>529</v>
      </c>
      <c r="E47" s="1141">
        <f>+L25</f>
        <v>0</v>
      </c>
      <c r="F47" s="410"/>
      <c r="G47" s="410"/>
      <c r="H47" s="410"/>
      <c r="I47" s="410"/>
      <c r="J47" s="410"/>
      <c r="K47" s="410"/>
      <c r="L47" s="1141">
        <f>SUM(E47:K47)</f>
        <v>0</v>
      </c>
      <c r="M47" s="1326"/>
      <c r="N47" s="1327"/>
      <c r="O47" s="1327"/>
      <c r="P47" s="1328"/>
      <c r="Q47" s="665"/>
      <c r="S47" s="367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70"/>
    </row>
    <row r="48" spans="2:32" ht="27" customHeight="1">
      <c r="B48" s="663"/>
      <c r="C48" s="1134" t="s">
        <v>417</v>
      </c>
      <c r="D48" s="1135" t="s">
        <v>475</v>
      </c>
      <c r="E48" s="496">
        <f>+L26</f>
        <v>0</v>
      </c>
      <c r="F48" s="411"/>
      <c r="G48" s="411"/>
      <c r="H48" s="411"/>
      <c r="I48" s="411"/>
      <c r="J48" s="411"/>
      <c r="K48" s="411"/>
      <c r="L48" s="496">
        <f>SUM(E48:K48)</f>
        <v>0</v>
      </c>
      <c r="M48" s="1329"/>
      <c r="N48" s="1330"/>
      <c r="O48" s="1330"/>
      <c r="P48" s="1331"/>
      <c r="Q48" s="665"/>
      <c r="S48" s="367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70"/>
    </row>
    <row r="49" spans="2:32" ht="27" customHeight="1">
      <c r="B49" s="663"/>
      <c r="C49" s="1134" t="s">
        <v>425</v>
      </c>
      <c r="D49" s="1135" t="s">
        <v>476</v>
      </c>
      <c r="E49" s="496">
        <f aca="true" t="shared" si="8" ref="E49:L49">SUM(E50:E51)</f>
        <v>-2162.03</v>
      </c>
      <c r="F49" s="496">
        <f t="shared" si="8"/>
        <v>0</v>
      </c>
      <c r="G49" s="496">
        <f t="shared" si="8"/>
        <v>0</v>
      </c>
      <c r="H49" s="496">
        <f t="shared" si="8"/>
        <v>0</v>
      </c>
      <c r="I49" s="496">
        <f t="shared" si="8"/>
        <v>0</v>
      </c>
      <c r="J49" s="496">
        <f t="shared" si="8"/>
        <v>0</v>
      </c>
      <c r="K49" s="496">
        <f t="shared" si="8"/>
        <v>0</v>
      </c>
      <c r="L49" s="496">
        <f t="shared" si="8"/>
        <v>-2162.03</v>
      </c>
      <c r="M49" s="1332"/>
      <c r="N49" s="1333"/>
      <c r="O49" s="1333"/>
      <c r="P49" s="1334"/>
      <c r="Q49" s="665"/>
      <c r="S49" s="367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70"/>
    </row>
    <row r="50" spans="2:32" ht="27" customHeight="1">
      <c r="B50" s="663"/>
      <c r="C50" s="1136" t="s">
        <v>297</v>
      </c>
      <c r="D50" s="1137" t="s">
        <v>477</v>
      </c>
      <c r="E50" s="1138">
        <f aca="true" t="shared" si="9" ref="E50:E55">+L28</f>
        <v>0</v>
      </c>
      <c r="F50" s="409"/>
      <c r="G50" s="409"/>
      <c r="H50" s="409"/>
      <c r="I50" s="409"/>
      <c r="J50" s="409"/>
      <c r="K50" s="409"/>
      <c r="L50" s="1138">
        <f aca="true" t="shared" si="10" ref="L50:L55">SUM(E50:K50)</f>
        <v>0</v>
      </c>
      <c r="M50" s="1341"/>
      <c r="N50" s="1342"/>
      <c r="O50" s="1342"/>
      <c r="P50" s="1343"/>
      <c r="Q50" s="665"/>
      <c r="S50" s="367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70"/>
    </row>
    <row r="51" spans="2:32" ht="27" customHeight="1">
      <c r="B51" s="663"/>
      <c r="C51" s="1139" t="s">
        <v>304</v>
      </c>
      <c r="D51" s="1140" t="s">
        <v>478</v>
      </c>
      <c r="E51" s="1141">
        <f t="shared" si="9"/>
        <v>-2162.03</v>
      </c>
      <c r="F51" s="410"/>
      <c r="G51" s="410"/>
      <c r="H51" s="410"/>
      <c r="I51" s="410"/>
      <c r="J51" s="410"/>
      <c r="K51" s="410"/>
      <c r="L51" s="1141">
        <f t="shared" si="10"/>
        <v>-2162.03</v>
      </c>
      <c r="M51" s="1326"/>
      <c r="N51" s="1327"/>
      <c r="O51" s="1327"/>
      <c r="P51" s="1328"/>
      <c r="Q51" s="665"/>
      <c r="S51" s="367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70"/>
    </row>
    <row r="52" spans="2:32" ht="27" customHeight="1">
      <c r="B52" s="663"/>
      <c r="C52" s="1134" t="s">
        <v>428</v>
      </c>
      <c r="D52" s="1135" t="s">
        <v>479</v>
      </c>
      <c r="E52" s="496">
        <f t="shared" si="9"/>
        <v>0</v>
      </c>
      <c r="F52" s="411"/>
      <c r="G52" s="411"/>
      <c r="H52" s="411"/>
      <c r="I52" s="411"/>
      <c r="J52" s="411"/>
      <c r="K52" s="411"/>
      <c r="L52" s="496">
        <f t="shared" si="10"/>
        <v>0</v>
      </c>
      <c r="M52" s="1329"/>
      <c r="N52" s="1330"/>
      <c r="O52" s="1330"/>
      <c r="P52" s="1331"/>
      <c r="Q52" s="665"/>
      <c r="S52" s="367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70"/>
    </row>
    <row r="53" spans="2:32" ht="27" customHeight="1">
      <c r="B53" s="663"/>
      <c r="C53" s="1134" t="s">
        <v>430</v>
      </c>
      <c r="D53" s="1135" t="s">
        <v>480</v>
      </c>
      <c r="E53" s="496">
        <f t="shared" si="9"/>
        <v>4217705.51</v>
      </c>
      <c r="F53" s="411"/>
      <c r="G53" s="411"/>
      <c r="H53" s="411"/>
      <c r="I53" s="411">
        <v>-4217705.51</v>
      </c>
      <c r="J53" s="411"/>
      <c r="K53" s="411">
        <v>4446028.83</v>
      </c>
      <c r="L53" s="496">
        <f t="shared" si="10"/>
        <v>4446028.83</v>
      </c>
      <c r="M53" s="1332"/>
      <c r="N53" s="1333"/>
      <c r="O53" s="1333"/>
      <c r="P53" s="1334"/>
      <c r="Q53" s="665"/>
      <c r="S53" s="367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70"/>
    </row>
    <row r="54" spans="2:32" ht="27" customHeight="1">
      <c r="B54" s="663"/>
      <c r="C54" s="1134" t="s">
        <v>481</v>
      </c>
      <c r="D54" s="1135" t="s">
        <v>482</v>
      </c>
      <c r="E54" s="496">
        <f t="shared" si="9"/>
        <v>0</v>
      </c>
      <c r="F54" s="411"/>
      <c r="G54" s="411"/>
      <c r="H54" s="411"/>
      <c r="I54" s="411"/>
      <c r="J54" s="411"/>
      <c r="K54" s="411"/>
      <c r="L54" s="496">
        <f t="shared" si="10"/>
        <v>0</v>
      </c>
      <c r="M54" s="1332"/>
      <c r="N54" s="1333"/>
      <c r="O54" s="1333"/>
      <c r="P54" s="1334"/>
      <c r="Q54" s="665"/>
      <c r="S54" s="367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70"/>
    </row>
    <row r="55" spans="2:32" ht="27" customHeight="1">
      <c r="B55" s="663"/>
      <c r="C55" s="1134" t="s">
        <v>483</v>
      </c>
      <c r="D55" s="1135" t="s">
        <v>484</v>
      </c>
      <c r="E55" s="496">
        <f t="shared" si="9"/>
        <v>0</v>
      </c>
      <c r="F55" s="411"/>
      <c r="G55" s="411"/>
      <c r="H55" s="411"/>
      <c r="I55" s="411"/>
      <c r="J55" s="411"/>
      <c r="K55" s="411"/>
      <c r="L55" s="496">
        <f t="shared" si="10"/>
        <v>0</v>
      </c>
      <c r="M55" s="1332"/>
      <c r="N55" s="1333"/>
      <c r="O55" s="1333"/>
      <c r="P55" s="1334"/>
      <c r="Q55" s="665"/>
      <c r="S55" s="367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70"/>
    </row>
    <row r="56" spans="2:32" ht="27" customHeight="1">
      <c r="B56" s="663"/>
      <c r="C56" s="1142"/>
      <c r="D56" s="664"/>
      <c r="E56" s="1143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4"/>
      <c r="Q56" s="665"/>
      <c r="S56" s="367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70"/>
    </row>
    <row r="57" spans="2:32" ht="22.5" customHeight="1" thickBot="1">
      <c r="B57" s="663"/>
      <c r="C57" s="1145"/>
      <c r="D57" s="1146"/>
      <c r="E57" s="1147"/>
      <c r="F57" s="1147"/>
      <c r="G57" s="1147"/>
      <c r="H57" s="1147"/>
      <c r="I57" s="1147"/>
      <c r="J57" s="1147"/>
      <c r="K57" s="1147"/>
      <c r="L57" s="1147"/>
      <c r="M57" s="1147"/>
      <c r="N57" s="1147"/>
      <c r="O57" s="1147"/>
      <c r="P57" s="1148"/>
      <c r="Q57" s="665"/>
      <c r="S57" s="381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3"/>
    </row>
    <row r="58" spans="2:32" ht="22.5" customHeight="1" thickBot="1">
      <c r="B58" s="693"/>
      <c r="C58" s="1292"/>
      <c r="D58" s="1292"/>
      <c r="E58" s="1292"/>
      <c r="F58" s="1292"/>
      <c r="G58" s="1292"/>
      <c r="H58" s="1292"/>
      <c r="I58" s="1292"/>
      <c r="J58" s="1292"/>
      <c r="K58" s="1292"/>
      <c r="L58" s="1292"/>
      <c r="M58" s="1292"/>
      <c r="N58" s="1292"/>
      <c r="O58" s="1292"/>
      <c r="P58" s="694"/>
      <c r="Q58" s="695"/>
      <c r="S58" s="384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6"/>
    </row>
    <row r="59" spans="3:18" ht="22.5" customHeight="1">
      <c r="C59" s="659"/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R59" s="658" t="s">
        <v>83</v>
      </c>
    </row>
    <row r="60" spans="3:16" ht="12.75">
      <c r="C60" s="696" t="s">
        <v>286</v>
      </c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43" t="s">
        <v>113</v>
      </c>
    </row>
    <row r="61" spans="3:16" ht="12.75">
      <c r="C61" s="697" t="s">
        <v>287</v>
      </c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</row>
    <row r="62" spans="3:16" ht="12.75">
      <c r="C62" s="697" t="s">
        <v>288</v>
      </c>
      <c r="D62" s="659"/>
      <c r="E62" s="659"/>
      <c r="F62" s="659"/>
      <c r="G62" s="659"/>
      <c r="H62" s="659"/>
      <c r="I62" s="659"/>
      <c r="J62" s="659"/>
      <c r="K62" s="659"/>
      <c r="L62" s="659"/>
      <c r="M62" s="659"/>
      <c r="N62" s="659"/>
      <c r="O62" s="659"/>
      <c r="P62" s="659"/>
    </row>
    <row r="63" spans="3:16" ht="12.75">
      <c r="C63" s="697" t="s">
        <v>289</v>
      </c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</row>
    <row r="64" spans="3:16" ht="12.75">
      <c r="C64" s="697" t="s">
        <v>290</v>
      </c>
      <c r="D64" s="659"/>
      <c r="E64" s="659"/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</row>
    <row r="65" spans="3:16" ht="22.5" customHeight="1">
      <c r="C65" s="659"/>
      <c r="D65" s="659"/>
      <c r="E65" s="1149"/>
      <c r="F65" s="1149"/>
      <c r="G65" s="1149"/>
      <c r="H65" s="1149"/>
      <c r="I65" s="1149"/>
      <c r="J65" s="1149"/>
      <c r="K65" s="1149"/>
      <c r="L65" s="1149"/>
      <c r="M65" s="1149"/>
      <c r="N65" s="1149"/>
      <c r="O65" s="1149">
        <f>IF(_CHECK_LIST!K15&gt;0,"Revisa","")</f>
      </c>
      <c r="P65" s="1149">
        <f>IF(_CHECK_LIST!L15&gt;0,"Revisa","")</f>
      </c>
    </row>
    <row r="66" spans="3:16" ht="22.5" customHeight="1">
      <c r="C66" s="659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  <c r="O66" s="659"/>
      <c r="P66" s="659"/>
    </row>
    <row r="67" spans="3:16" ht="22.5" customHeight="1">
      <c r="C67" s="659"/>
      <c r="D67" s="659"/>
      <c r="E67" s="659"/>
      <c r="F67" s="659"/>
      <c r="G67" s="659"/>
      <c r="H67" s="659"/>
      <c r="I67" s="659"/>
      <c r="J67" s="659"/>
      <c r="K67" s="659"/>
      <c r="L67" s="659"/>
      <c r="M67" s="659"/>
      <c r="N67" s="659"/>
      <c r="O67" s="659"/>
      <c r="P67" s="659"/>
    </row>
    <row r="68" spans="3:16" ht="12.75">
      <c r="C68" s="659"/>
      <c r="D68" s="659"/>
      <c r="E68" s="659"/>
      <c r="F68" s="659"/>
      <c r="G68" s="659"/>
      <c r="H68" s="659"/>
      <c r="I68" s="659"/>
      <c r="J68" s="659"/>
      <c r="K68" s="659"/>
      <c r="L68" s="659"/>
      <c r="M68" s="659"/>
      <c r="N68" s="659"/>
      <c r="O68" s="659"/>
      <c r="P68" s="659"/>
    </row>
    <row r="69" spans="15:16" ht="12.75">
      <c r="O69" s="659"/>
      <c r="P69" s="659"/>
    </row>
  </sheetData>
  <sheetProtection sheet="1" objects="1" scenarios="1"/>
  <mergeCells count="47">
    <mergeCell ref="C58:O58"/>
    <mergeCell ref="M14:P14"/>
    <mergeCell ref="M13:P13"/>
    <mergeCell ref="M15:P16"/>
    <mergeCell ref="M17:P17"/>
    <mergeCell ref="M18:P18"/>
    <mergeCell ref="M19:P19"/>
    <mergeCell ref="M20:P20"/>
    <mergeCell ref="M28:P28"/>
    <mergeCell ref="M29:P29"/>
    <mergeCell ref="M53:P53"/>
    <mergeCell ref="M54:P54"/>
    <mergeCell ref="M55:P55"/>
    <mergeCell ref="C35:C36"/>
    <mergeCell ref="M48:P48"/>
    <mergeCell ref="M49:P49"/>
    <mergeCell ref="P6:P7"/>
    <mergeCell ref="D9:P9"/>
    <mergeCell ref="M44:P44"/>
    <mergeCell ref="M45:P45"/>
    <mergeCell ref="M32:P32"/>
    <mergeCell ref="M21:P21"/>
    <mergeCell ref="M22:P22"/>
    <mergeCell ref="M23:P23"/>
    <mergeCell ref="M24:P24"/>
    <mergeCell ref="M25:P25"/>
    <mergeCell ref="M30:P30"/>
    <mergeCell ref="M31:P31"/>
    <mergeCell ref="M26:P26"/>
    <mergeCell ref="M27:P27"/>
    <mergeCell ref="M37:P38"/>
    <mergeCell ref="M39:P39"/>
    <mergeCell ref="M50:P50"/>
    <mergeCell ref="M51:P51"/>
    <mergeCell ref="M52:P52"/>
    <mergeCell ref="M46:P46"/>
    <mergeCell ref="M40:P40"/>
    <mergeCell ref="C13:C14"/>
    <mergeCell ref="D13:D14"/>
    <mergeCell ref="D35:D36"/>
    <mergeCell ref="M47:P47"/>
    <mergeCell ref="M41:P41"/>
    <mergeCell ref="M42:P42"/>
    <mergeCell ref="M43:P43"/>
    <mergeCell ref="M33:P33"/>
    <mergeCell ref="M35:P35"/>
    <mergeCell ref="M36:P36"/>
  </mergeCells>
  <printOptions/>
  <pageMargins left="0.7500000000000001" right="0.7500000000000001" top="1" bottom="1" header="0.5" footer="0.5"/>
  <pageSetup fitToHeight="1" fitToWidth="1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2020-01-13T13:04:45Z</cp:lastPrinted>
  <dcterms:created xsi:type="dcterms:W3CDTF">2017-09-18T15:25:23Z</dcterms:created>
  <dcterms:modified xsi:type="dcterms:W3CDTF">2020-03-11T11:08:42Z</dcterms:modified>
  <cp:category/>
  <cp:version/>
  <cp:contentType/>
  <cp:contentStatus/>
</cp:coreProperties>
</file>